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ONCO'!$A$1:$I$39</definedName>
    <definedName name="_xlnm.Print_Area" localSheetId="11">'CV UNICE'!$A$1:$I$39</definedName>
  </definedNames>
  <calcPr fullCalcOnLoad="1"/>
</workbook>
</file>

<file path=xl/sharedStrings.xml><?xml version="1.0" encoding="utf-8"?>
<sst xmlns="http://schemas.openxmlformats.org/spreadsheetml/2006/main" count="525" uniqueCount="91">
  <si>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</si>
  <si>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</si>
  <si>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</si>
  <si>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</si>
  <si>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</si>
  <si>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</si>
  <si>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</si>
  <si>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</si>
  <si>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</si>
  <si>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</si>
  <si>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</si>
  <si>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</si>
  <si>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</si>
  <si>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</si>
  <si>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</si>
  <si>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</si>
  <si>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</si>
  <si>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</si>
  <si>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</si>
  <si>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</si>
  <si>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</si>
  <si>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</si>
  <si>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</si>
  <si>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</si>
  <si>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</si>
  <si>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</si>
  <si>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</si>
  <si>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</si>
  <si>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</si>
  <si>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</si>
  <si>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</si>
  <si>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</si>
  <si>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</si>
  <si>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</si>
  <si>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</si>
  <si>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</si>
  <si>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</si>
  <si>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</si>
  <si>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</si>
  <si>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</si>
  <si>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</si>
  <si>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</si>
  <si>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</si>
  <si>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</si>
  <si>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</si>
  <si>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</si>
  <si>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</si>
  <si>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</si>
  <si>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</si>
  <si>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</si>
  <si>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</si>
  <si>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</si>
  <si>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</si>
  <si>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</si>
  <si>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</si>
  <si>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</si>
  <si>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</si>
  <si>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</si>
  <si>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</si>
  <si>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</si>
  <si>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</si>
  <si>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</si>
  <si>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</si>
  <si>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</si>
  <si>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</si>
  <si>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</si>
  <si>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</si>
  <si>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</si>
  <si>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</si>
  <si>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</si>
  <si>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</si>
  <si>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</si>
  <si>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</si>
  <si>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</si>
  <si>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</si>
  <si>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</si>
  <si>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G22</t>
  </si>
  <si>
    <t>SITUATIA CONSUMULUI DE MEDICAMENTE PENTRU PENSIONARI CU PENSII&lt;= 1299 LEI MARTIE 2021</t>
  </si>
  <si>
    <t>SITUATIA CONSUMULUI DE MEDICAMENTE IN LUNA MARTIE  2021</t>
  </si>
  <si>
    <t>SITUATIA CONSUMULUI DE MEDICAMENTE COST VOLUM PENTRU PENSIONARI  PANA LA 1299 LEI MARTIE 2021</t>
  </si>
  <si>
    <t>SITUATIA CONSUMULUI DE MEDICAMENTE PENTRU DIABET   LUNA MARTIE 2021</t>
  </si>
  <si>
    <t>SITUATIA CONSUMULUI DE MEDICAMENTE PENTRU INSULINE LUNA MARTIE 2021</t>
  </si>
  <si>
    <t>SITUATIA CONSUMULUI DE MEDICAMENTE LA  DIABET SI INSULINE MARTIE 2021</t>
  </si>
  <si>
    <t>SITUATIA CONSUMULUI LA TESTE PENTRU LUNA MARTIE 2021</t>
  </si>
  <si>
    <t>SITUATIA CONSUMULUI DE MEDICAMENTE PENTRU PNS COST VOLUM   LUNA MARTIE 2021</t>
  </si>
  <si>
    <t>SITUATIA CONSUMULUI DE MEDICAMENTE PENTRU ONCOLOGIE  LUNA MARTIE 2021</t>
  </si>
  <si>
    <t>SITUATIA CONSUMULUI DE MEDICAMENTE LA STARI POSTTRANSPLANT MARTIE  2021</t>
  </si>
  <si>
    <t>SITUATIA CONSUMULUI DE MEDICAMENTE PENTRU SCLEROZA   LUNA MARTIE 2021</t>
  </si>
  <si>
    <t>SITUATIA CONSUMULUI DE MEDIC. PENTRU UNICE COST VOLUM   LUNA MARTIE 2021</t>
  </si>
  <si>
    <t>SITUATIA CONSUMULUI DE MEDICAMENTE LA STARI MUCOVISCIDOZA MARTIE 2021</t>
  </si>
  <si>
    <t>MARTIE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</si>
</sst>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13" fillId="0" borderId="8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4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69"/>
  <sheetViews>
    <sheetView tabSelected="1" workbookViewId="0" topLeftCell="A4">
      <selection activeCell="T4" sqref="T1:U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12.7109375" style="4" bestFit="1" customWidth="1"/>
    <col min="21" max="21" width="17.140625" style="4" customWidth="1"/>
    <col min="22" max="22" width="11.7109375" style="4" bestFit="1" customWidth="1"/>
    <col min="23" max="56" width="9.140625" style="4" customWidth="1"/>
  </cols>
  <sheetData>
    <row r="3" spans="2:19" ht="15.75">
      <c r="B3" s="19" t="s">
        <v>78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44</v>
      </c>
      <c r="H4" s="53" t="s">
        <v>46</v>
      </c>
      <c r="I4" s="52" t="s">
        <v>47</v>
      </c>
      <c r="J4" s="52" t="s">
        <v>51</v>
      </c>
      <c r="K4" s="52" t="s">
        <v>48</v>
      </c>
      <c r="L4" s="52" t="s">
        <v>49</v>
      </c>
      <c r="M4" s="52" t="s">
        <v>54</v>
      </c>
      <c r="N4" s="52" t="s">
        <v>52</v>
      </c>
      <c r="O4" s="52" t="s">
        <v>50</v>
      </c>
      <c r="P4" s="52" t="s">
        <v>53</v>
      </c>
      <c r="Q4" s="52" t="s">
        <v>56</v>
      </c>
      <c r="R4" s="54" t="s">
        <v>42</v>
      </c>
      <c r="S4" s="53" t="s">
        <v>55</v>
      </c>
    </row>
    <row r="5" spans="1:22" ht="15.75">
      <c r="A5" s="55">
        <v>1</v>
      </c>
      <c r="B5" s="56" t="s">
        <v>6</v>
      </c>
      <c r="C5" s="25">
        <f>32509.23+8278.18+4827.41+4094.71</f>
        <v>49709.530000000006</v>
      </c>
      <c r="D5" s="25">
        <f>40891.11+5526.32+4285.62+3141.94</f>
        <v>53844.990000000005</v>
      </c>
      <c r="E5" s="25">
        <f>46105.29+3240.93+4990.03+1245.05</f>
        <v>55581.3</v>
      </c>
      <c r="F5" s="25">
        <f>3027.03+759.17+629.82+598.8</f>
        <v>5014.820000000001</v>
      </c>
      <c r="G5" s="25">
        <f>3906.55+558.26+812.21+366.09</f>
        <v>5643.110000000001</v>
      </c>
      <c r="H5" s="26">
        <v>327.79</v>
      </c>
      <c r="I5" s="25"/>
      <c r="J5" s="25"/>
      <c r="K5" s="25">
        <v>2269.54</v>
      </c>
      <c r="L5" s="25">
        <v>23265.34</v>
      </c>
      <c r="M5" s="25"/>
      <c r="N5" s="25">
        <v>10357.91</v>
      </c>
      <c r="O5" s="25"/>
      <c r="P5" s="25">
        <v>7836.6</v>
      </c>
      <c r="Q5" s="57">
        <f>H5+I5+J5+K5+L5+M5+N5+O5+P5</f>
        <v>44057.18</v>
      </c>
      <c r="R5" s="78">
        <f aca="true" t="shared" si="0" ref="R5:R37">C5+D5+E5+F5+G5+H5+I5+J5+K5+L5+M5+N5+O5+P5</f>
        <v>213850.93000000002</v>
      </c>
      <c r="S5" s="59">
        <f>R5-Q5</f>
        <v>169793.75000000003</v>
      </c>
      <c r="U5" s="62"/>
      <c r="V5" s="77"/>
    </row>
    <row r="6" spans="1:22" ht="15.75">
      <c r="A6" s="55">
        <v>2</v>
      </c>
      <c r="B6" s="56" t="s">
        <v>7</v>
      </c>
      <c r="C6" s="25">
        <f>9948.53+8129.68</f>
        <v>18078.21</v>
      </c>
      <c r="D6" s="25">
        <f>13465.45+7042.79</f>
        <v>20508.24</v>
      </c>
      <c r="E6" s="25">
        <f>5755.65+6834.91</f>
        <v>12590.56</v>
      </c>
      <c r="F6" s="25">
        <f>715.4+236.86</f>
        <v>952.26</v>
      </c>
      <c r="G6" s="25">
        <f>1702.45+1407.92</f>
        <v>3110.37</v>
      </c>
      <c r="H6" s="26"/>
      <c r="I6" s="25"/>
      <c r="J6" s="25">
        <v>2264.29</v>
      </c>
      <c r="K6" s="25"/>
      <c r="L6" s="25">
        <f>4294.62+3760.58</f>
        <v>8055.2</v>
      </c>
      <c r="M6" s="25"/>
      <c r="N6" s="25">
        <v>5053.07</v>
      </c>
      <c r="O6" s="25"/>
      <c r="P6" s="25"/>
      <c r="Q6" s="57">
        <f aca="true" t="shared" si="1" ref="Q6:Q37">H6+I6+J6+K6+L6+M6+N6+O6+P6</f>
        <v>15372.56</v>
      </c>
      <c r="R6" s="78">
        <f t="shared" si="0"/>
        <v>70612.20000000001</v>
      </c>
      <c r="S6" s="59">
        <f aca="true" t="shared" si="2" ref="S6:S37">R6-Q6</f>
        <v>55239.640000000014</v>
      </c>
      <c r="U6" s="62"/>
      <c r="V6" s="77"/>
    </row>
    <row r="7" spans="1:22" ht="15.75">
      <c r="A7" s="55">
        <v>3</v>
      </c>
      <c r="B7" s="56" t="s">
        <v>8</v>
      </c>
      <c r="C7" s="25">
        <f>7317.12+4888.87+4590.69+8986.51</f>
        <v>25783.190000000002</v>
      </c>
      <c r="D7" s="25">
        <f>7269.14+3065.91+6201.1+7489.75</f>
        <v>24025.9</v>
      </c>
      <c r="E7" s="25">
        <f>4069.91+825.14+1954.59+7068.13</f>
        <v>13917.77</v>
      </c>
      <c r="F7" s="25">
        <f>1843.81+1368.17+861.57+1759.56</f>
        <v>5833.110000000001</v>
      </c>
      <c r="G7" s="25">
        <f>1262.68+439.2+340.32+763.23</f>
        <v>2805.4300000000003</v>
      </c>
      <c r="H7" s="26"/>
      <c r="I7" s="25"/>
      <c r="J7" s="25"/>
      <c r="K7" s="25">
        <v>5425.74</v>
      </c>
      <c r="L7" s="25"/>
      <c r="M7" s="25"/>
      <c r="N7" s="25"/>
      <c r="O7" s="25"/>
      <c r="P7" s="25"/>
      <c r="Q7" s="57">
        <f t="shared" si="1"/>
        <v>5425.74</v>
      </c>
      <c r="R7" s="78">
        <f t="shared" si="0"/>
        <v>77791.14</v>
      </c>
      <c r="S7" s="59">
        <f t="shared" si="2"/>
        <v>72365.4</v>
      </c>
      <c r="U7" s="62"/>
      <c r="V7" s="77"/>
    </row>
    <row r="8" spans="1:22" ht="15.75">
      <c r="A8" s="55">
        <v>4</v>
      </c>
      <c r="B8" s="56" t="s">
        <v>9</v>
      </c>
      <c r="C8" s="25">
        <f>5967.1+8676.39+4166.79</f>
        <v>18810.28</v>
      </c>
      <c r="D8" s="25">
        <f>4868.27+7969.89+5258.31</f>
        <v>18096.47</v>
      </c>
      <c r="E8" s="25">
        <f>3170.38+6678.99+2159.6</f>
        <v>12008.97</v>
      </c>
      <c r="F8" s="25">
        <f>1196.68+583.52+65.93</f>
        <v>1846.13</v>
      </c>
      <c r="G8" s="25">
        <f>1518.13+811.09+505.96</f>
        <v>2835.1800000000003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78">
        <f t="shared" si="0"/>
        <v>53597.03</v>
      </c>
      <c r="S8" s="59">
        <f t="shared" si="2"/>
        <v>53597.03</v>
      </c>
      <c r="U8" s="62"/>
      <c r="V8" s="77"/>
    </row>
    <row r="9" spans="1:22" ht="15.75">
      <c r="A9" s="55">
        <v>5</v>
      </c>
      <c r="B9" s="56" t="s">
        <v>10</v>
      </c>
      <c r="C9" s="25">
        <f>19061.2+2553.62</f>
        <v>21614.82</v>
      </c>
      <c r="D9" s="25">
        <f>30198.31+1869.08</f>
        <v>32067.39</v>
      </c>
      <c r="E9" s="25">
        <f>22280.58+1226.11</f>
        <v>23506.690000000002</v>
      </c>
      <c r="F9" s="26">
        <f>2179.44+64.84</f>
        <v>2244.28</v>
      </c>
      <c r="G9" s="25">
        <f>3152.12+231.32</f>
        <v>3383.44</v>
      </c>
      <c r="H9" s="26"/>
      <c r="J9" s="25"/>
      <c r="K9" s="25"/>
      <c r="L9" s="25">
        <v>2269.54</v>
      </c>
      <c r="M9" s="25"/>
      <c r="N9" s="25"/>
      <c r="O9" s="25"/>
      <c r="P9" s="25"/>
      <c r="Q9" s="57">
        <f t="shared" si="1"/>
        <v>2269.54</v>
      </c>
      <c r="R9" s="78">
        <f t="shared" si="0"/>
        <v>85086.15999999999</v>
      </c>
      <c r="S9" s="59">
        <f t="shared" si="2"/>
        <v>82816.62</v>
      </c>
      <c r="U9" s="62"/>
      <c r="V9" s="77"/>
    </row>
    <row r="10" spans="1:23" ht="15.75">
      <c r="A10" s="55">
        <v>6</v>
      </c>
      <c r="B10" s="56" t="s">
        <v>11</v>
      </c>
      <c r="C10" s="25">
        <f>18935.15+13939.76+4626.62+9977.44+13070.21</f>
        <v>60549.18000000001</v>
      </c>
      <c r="D10" s="25">
        <f>26155.24+15699.59+4816.48+7699.35+18980.42</f>
        <v>73351.07999999999</v>
      </c>
      <c r="E10" s="25">
        <f>33159.81+10556.16+5457.06+3441.64+71499.8</f>
        <v>124114.47</v>
      </c>
      <c r="F10" s="25">
        <f>2146.93+2373.57+313.9+2490.48+1835.05</f>
        <v>9159.929999999998</v>
      </c>
      <c r="G10" s="25">
        <f>2331.94+1548.64+438.51+717.23+1595.1</f>
        <v>6631.42</v>
      </c>
      <c r="H10" s="26">
        <f>904.51+491.69</f>
        <v>1396.2</v>
      </c>
      <c r="I10" s="25"/>
      <c r="J10" s="25"/>
      <c r="K10" s="25"/>
      <c r="L10" s="25">
        <f>3315+7322.61+6564.16</f>
        <v>17201.77</v>
      </c>
      <c r="M10" s="25">
        <f>1134.77</f>
        <v>1134.77</v>
      </c>
      <c r="N10" s="25">
        <f>4539.08+2269.54</f>
        <v>6808.62</v>
      </c>
      <c r="O10" s="25"/>
      <c r="P10" s="25">
        <v>5032.62</v>
      </c>
      <c r="Q10" s="57">
        <f t="shared" si="1"/>
        <v>31573.98</v>
      </c>
      <c r="R10" s="78">
        <f t="shared" si="0"/>
        <v>305380.06000000006</v>
      </c>
      <c r="S10" s="59">
        <f t="shared" si="2"/>
        <v>273806.0800000001</v>
      </c>
      <c r="U10" s="62"/>
      <c r="V10" s="77"/>
      <c r="W10" s="70"/>
    </row>
    <row r="11" spans="1:22" ht="15" customHeight="1">
      <c r="A11" s="55">
        <v>7</v>
      </c>
      <c r="B11" s="56" t="s">
        <v>57</v>
      </c>
      <c r="C11" s="25">
        <f>17269.7+18296.84+10252.43+6386.41+11536.38+1742.67+8746.3+176.68</f>
        <v>74407.40999999999</v>
      </c>
      <c r="D11" s="25">
        <f>22519.81+18261.24+12595.07+7638.12+10564.07+1415.81+5737.36</f>
        <v>78731.48</v>
      </c>
      <c r="E11" s="25">
        <f>10754.03+22087.55+3194.08+6665.69+6160.69+353.39+6636.01</f>
        <v>55851.44000000001</v>
      </c>
      <c r="F11" s="25">
        <f>1938.79+1826.25+2084.84+920.17+1621.73+76.27+2483.16</f>
        <v>10951.210000000001</v>
      </c>
      <c r="G11" s="25">
        <f>3180.11+1841.38+1288.5+1064.62+727.34+269.5+508.01+1.88</f>
        <v>8881.34</v>
      </c>
      <c r="H11" s="26">
        <v>491.69</v>
      </c>
      <c r="I11" s="25"/>
      <c r="J11" s="25"/>
      <c r="K11" s="25"/>
      <c r="L11" s="25">
        <v>2269.54</v>
      </c>
      <c r="M11" s="25"/>
      <c r="N11" s="25">
        <v>2269.54</v>
      </c>
      <c r="O11" s="25"/>
      <c r="P11" s="25"/>
      <c r="Q11" s="57">
        <f t="shared" si="1"/>
        <v>5030.77</v>
      </c>
      <c r="R11" s="78">
        <f t="shared" si="0"/>
        <v>233853.65</v>
      </c>
      <c r="S11" s="59">
        <f t="shared" si="2"/>
        <v>228822.88</v>
      </c>
      <c r="U11" s="62"/>
      <c r="V11" s="77"/>
    </row>
    <row r="12" spans="1:22" ht="15.75">
      <c r="A12" s="55">
        <v>8</v>
      </c>
      <c r="B12" s="56" t="s">
        <v>12</v>
      </c>
      <c r="C12" s="25">
        <v>18013.46</v>
      </c>
      <c r="D12" s="25">
        <v>31783.73</v>
      </c>
      <c r="E12" s="25">
        <v>42736.46</v>
      </c>
      <c r="F12" s="25">
        <v>696.47</v>
      </c>
      <c r="G12" s="25">
        <v>1022.04</v>
      </c>
      <c r="H12" s="26">
        <v>1524.93</v>
      </c>
      <c r="I12" s="25">
        <v>163.89</v>
      </c>
      <c r="J12" s="25">
        <v>3404.54</v>
      </c>
      <c r="K12" s="25"/>
      <c r="L12" s="25">
        <v>10539.56</v>
      </c>
      <c r="M12" s="25"/>
      <c r="N12" s="25">
        <v>7854.08</v>
      </c>
      <c r="O12" s="25"/>
      <c r="P12" s="25"/>
      <c r="Q12" s="57">
        <f t="shared" si="1"/>
        <v>23487</v>
      </c>
      <c r="R12" s="78">
        <f t="shared" si="0"/>
        <v>117739.15999999997</v>
      </c>
      <c r="S12" s="59">
        <f t="shared" si="2"/>
        <v>94252.15999999997</v>
      </c>
      <c r="U12" s="62"/>
      <c r="V12" s="77"/>
    </row>
    <row r="13" spans="1:22" ht="15.75">
      <c r="A13" s="55">
        <v>9</v>
      </c>
      <c r="B13" s="56" t="s">
        <v>13</v>
      </c>
      <c r="C13" s="25">
        <f>9212.06+10144.15</f>
        <v>19356.21</v>
      </c>
      <c r="D13" s="27">
        <f>12189.04+14433.97</f>
        <v>26623.010000000002</v>
      </c>
      <c r="E13" s="25">
        <f>16610.53+5929.03</f>
        <v>22539.559999999998</v>
      </c>
      <c r="F13" s="25">
        <f>365.4+1296.37</f>
        <v>1661.77</v>
      </c>
      <c r="G13" s="25">
        <f>777.74+1495.55</f>
        <v>2273.29</v>
      </c>
      <c r="H13" s="26">
        <v>491.69</v>
      </c>
      <c r="I13" s="25"/>
      <c r="J13" s="25"/>
      <c r="K13" s="25"/>
      <c r="L13" s="25"/>
      <c r="M13" s="25"/>
      <c r="N13" s="25"/>
      <c r="O13" s="25"/>
      <c r="P13" s="25"/>
      <c r="Q13" s="57">
        <f t="shared" si="1"/>
        <v>491.69</v>
      </c>
      <c r="R13" s="78">
        <f t="shared" si="0"/>
        <v>72945.53</v>
      </c>
      <c r="S13" s="59">
        <f t="shared" si="2"/>
        <v>72453.84</v>
      </c>
      <c r="U13" s="62"/>
      <c r="V13" s="77"/>
    </row>
    <row r="14" spans="1:22" ht="15.75">
      <c r="A14" s="55">
        <v>10</v>
      </c>
      <c r="B14" s="56" t="s">
        <v>14</v>
      </c>
      <c r="C14" s="25">
        <f>23742.43+18987.56+26689.86</f>
        <v>69419.85</v>
      </c>
      <c r="D14" s="25">
        <f>27347.29+22164.56+34053.46</f>
        <v>83565.31</v>
      </c>
      <c r="E14" s="25">
        <f>12191.97+10699.49+15385.26</f>
        <v>38276.72</v>
      </c>
      <c r="F14" s="25">
        <f>2594.36+1973.56+2754.76</f>
        <v>7322.68</v>
      </c>
      <c r="G14" s="25">
        <f>3504.22+2702.07+3324.61</f>
        <v>9530.9</v>
      </c>
      <c r="H14" s="26">
        <v>491.7</v>
      </c>
      <c r="I14" s="25"/>
      <c r="J14" s="25"/>
      <c r="K14" s="25"/>
      <c r="L14" s="25">
        <f>2783.53+4539.08+7836.6</f>
        <v>15159.210000000001</v>
      </c>
      <c r="M14" s="25">
        <f>2269.54</f>
        <v>2269.54</v>
      </c>
      <c r="N14" s="25">
        <f>2269.54+9911.73+10106.14</f>
        <v>22287.41</v>
      </c>
      <c r="O14" s="25">
        <v>1843.14</v>
      </c>
      <c r="P14" s="25">
        <v>3404.31</v>
      </c>
      <c r="Q14" s="57">
        <f t="shared" si="1"/>
        <v>45455.31</v>
      </c>
      <c r="R14" s="78">
        <f t="shared" si="0"/>
        <v>253570.77000000002</v>
      </c>
      <c r="S14" s="59">
        <f t="shared" si="2"/>
        <v>208115.46000000002</v>
      </c>
      <c r="U14" s="62"/>
      <c r="V14" s="77"/>
    </row>
    <row r="15" spans="1:22" ht="15.75">
      <c r="A15" s="55">
        <v>11</v>
      </c>
      <c r="B15" s="56" t="s">
        <v>15</v>
      </c>
      <c r="C15" s="25">
        <v>27836.03</v>
      </c>
      <c r="D15" s="25">
        <v>32950.97</v>
      </c>
      <c r="E15" s="25">
        <v>23061.58</v>
      </c>
      <c r="F15" s="25">
        <v>3152.25</v>
      </c>
      <c r="G15" s="25">
        <v>3577.62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78">
        <f t="shared" si="0"/>
        <v>90578.45</v>
      </c>
      <c r="S15" s="59">
        <f t="shared" si="2"/>
        <v>90578.45</v>
      </c>
      <c r="U15" s="62"/>
      <c r="V15" s="77"/>
    </row>
    <row r="16" spans="1:22" ht="15.75">
      <c r="A16" s="55">
        <v>12</v>
      </c>
      <c r="B16" s="56" t="s">
        <v>16</v>
      </c>
      <c r="C16" s="25">
        <v>16516.98</v>
      </c>
      <c r="D16" s="25">
        <v>14899.45</v>
      </c>
      <c r="E16" s="25">
        <v>4563.31</v>
      </c>
      <c r="F16" s="25">
        <v>1415.6</v>
      </c>
      <c r="G16" s="25">
        <v>1514.66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78">
        <f t="shared" si="0"/>
        <v>38910</v>
      </c>
      <c r="S16" s="59">
        <f t="shared" si="2"/>
        <v>38910</v>
      </c>
      <c r="T16" s="11"/>
      <c r="U16" s="62"/>
      <c r="V16" s="77"/>
    </row>
    <row r="17" spans="1:22" ht="15.75">
      <c r="A17" s="55">
        <v>13</v>
      </c>
      <c r="B17" s="56" t="s">
        <v>17</v>
      </c>
      <c r="C17" s="25">
        <f>34122.21+14357.46+6888.99</f>
        <v>55368.659999999996</v>
      </c>
      <c r="D17" s="25">
        <f>30831.03+13112.31+4909.98</f>
        <v>48853.31999999999</v>
      </c>
      <c r="E17" s="25">
        <f>19111.89+12312.61+6414.91</f>
        <v>37839.41</v>
      </c>
      <c r="F17" s="25">
        <f>2748.88+1168.14+60.8</f>
        <v>3977.8200000000006</v>
      </c>
      <c r="G17" s="25">
        <f>2792.6+873.72+224.07</f>
        <v>3890.39</v>
      </c>
      <c r="H17" s="26"/>
      <c r="I17" s="25"/>
      <c r="J17" s="25">
        <v>4988.29</v>
      </c>
      <c r="K17" s="25"/>
      <c r="L17" s="25"/>
      <c r="M17" s="25"/>
      <c r="N17" s="25"/>
      <c r="O17" s="25"/>
      <c r="P17" s="25"/>
      <c r="Q17" s="57">
        <f t="shared" si="1"/>
        <v>4988.29</v>
      </c>
      <c r="R17" s="78">
        <f t="shared" si="0"/>
        <v>154917.89</v>
      </c>
      <c r="S17" s="59">
        <f t="shared" si="2"/>
        <v>149929.6</v>
      </c>
      <c r="U17" s="62"/>
      <c r="V17" s="77"/>
    </row>
    <row r="18" spans="1:22" ht="15.75">
      <c r="A18" s="55">
        <v>14</v>
      </c>
      <c r="B18" s="56" t="s">
        <v>18</v>
      </c>
      <c r="C18" s="25">
        <f>12201.93+4321.69</f>
        <v>16523.62</v>
      </c>
      <c r="D18" s="25">
        <f>12145.8+3396.07</f>
        <v>15541.869999999999</v>
      </c>
      <c r="E18" s="25">
        <f>5423.63+2288.43</f>
        <v>7712.0599999999995</v>
      </c>
      <c r="F18" s="25">
        <f>1472.67+408.32</f>
        <v>1880.99</v>
      </c>
      <c r="G18" s="25">
        <f>1742.12+585.32</f>
        <v>2327.44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78">
        <f t="shared" si="0"/>
        <v>43985.979999999996</v>
      </c>
      <c r="S18" s="59">
        <f t="shared" si="2"/>
        <v>43985.979999999996</v>
      </c>
      <c r="U18" s="62"/>
      <c r="V18" s="77"/>
    </row>
    <row r="19" spans="1:22" ht="15.75">
      <c r="A19" s="55">
        <v>15</v>
      </c>
      <c r="B19" s="56" t="s">
        <v>19</v>
      </c>
      <c r="C19" s="25">
        <f>4907.27+4282.94+2601.73+4146.38</f>
        <v>15938.32</v>
      </c>
      <c r="D19" s="25">
        <f>4232.08+4576.45+1778.6+4011.19</f>
        <v>14598.32</v>
      </c>
      <c r="E19" s="25">
        <f>1201.2+333.58+674.67+2010.35</f>
        <v>4219.799999999999</v>
      </c>
      <c r="F19" s="25">
        <f>654.62+776.6+187.97+1455.69</f>
        <v>3074.88</v>
      </c>
      <c r="G19" s="25">
        <f>296.2+577.44+376.65+439.96</f>
        <v>1690.25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78">
        <f t="shared" si="0"/>
        <v>39521.57</v>
      </c>
      <c r="S19" s="59">
        <f t="shared" si="2"/>
        <v>39521.57</v>
      </c>
      <c r="U19" s="62"/>
      <c r="V19" s="77"/>
    </row>
    <row r="20" spans="1:22" ht="15.75">
      <c r="A20" s="55">
        <v>16</v>
      </c>
      <c r="B20" s="56" t="s">
        <v>20</v>
      </c>
      <c r="C20" s="25">
        <v>17005.18</v>
      </c>
      <c r="D20" s="25">
        <v>18600.57</v>
      </c>
      <c r="E20" s="25">
        <v>9575.7</v>
      </c>
      <c r="F20" s="25">
        <v>504.38</v>
      </c>
      <c r="G20" s="25">
        <v>3183.41</v>
      </c>
      <c r="H20" s="26">
        <v>1639.04</v>
      </c>
      <c r="I20" s="25"/>
      <c r="J20" s="25"/>
      <c r="K20" s="25"/>
      <c r="L20" s="25"/>
      <c r="M20" s="25"/>
      <c r="N20" s="25">
        <v>3787.19</v>
      </c>
      <c r="O20" s="25"/>
      <c r="P20" s="25"/>
      <c r="Q20" s="57">
        <f t="shared" si="1"/>
        <v>5426.23</v>
      </c>
      <c r="R20" s="78">
        <f t="shared" si="0"/>
        <v>54295.469999999994</v>
      </c>
      <c r="S20" s="59">
        <f t="shared" si="2"/>
        <v>48869.23999999999</v>
      </c>
      <c r="U20" s="62"/>
      <c r="V20" s="62"/>
    </row>
    <row r="21" spans="1:22" ht="15.75">
      <c r="A21" s="55">
        <v>17</v>
      </c>
      <c r="B21" s="56" t="s">
        <v>21</v>
      </c>
      <c r="C21" s="25">
        <f>17970.66+5869.09+15615.47+2390.82+13211.55+3260.02</f>
        <v>58317.60999999999</v>
      </c>
      <c r="D21" s="25">
        <f>27587.67+5205.66+15644.6+3449.76+7575.17+3780.56</f>
        <v>63243.42</v>
      </c>
      <c r="E21" s="25">
        <f>21518.27+3169.73+14699.97+1202.77+563.59+1544.17</f>
        <v>42698.49999999999</v>
      </c>
      <c r="F21" s="25">
        <f>3760.08+2653.38+425.86+245.08+13973.11+658.85</f>
        <v>21716.36</v>
      </c>
      <c r="G21" s="25">
        <f>2870.4+459.28+2538.33+160.45+498.67+168.56</f>
        <v>6695.6900000000005</v>
      </c>
      <c r="H21" s="26">
        <v>1147.29</v>
      </c>
      <c r="I21" s="25"/>
      <c r="J21" s="25"/>
      <c r="K21" s="25"/>
      <c r="L21" s="25">
        <v>2783.53</v>
      </c>
      <c r="M21" s="25"/>
      <c r="N21" s="25"/>
      <c r="O21" s="25"/>
      <c r="P21" s="25"/>
      <c r="Q21" s="57">
        <f t="shared" si="1"/>
        <v>3930.82</v>
      </c>
      <c r="R21" s="78">
        <f t="shared" si="0"/>
        <v>196602.40000000002</v>
      </c>
      <c r="S21" s="59">
        <f t="shared" si="2"/>
        <v>192671.58000000002</v>
      </c>
      <c r="U21" s="62"/>
      <c r="V21" s="77"/>
    </row>
    <row r="22" spans="1:22" ht="15.75">
      <c r="A22" s="55">
        <v>18</v>
      </c>
      <c r="B22" s="56" t="s">
        <v>22</v>
      </c>
      <c r="C22" s="25">
        <v>6170.22</v>
      </c>
      <c r="D22" s="25">
        <v>5100.19</v>
      </c>
      <c r="E22" s="25">
        <v>4055.15</v>
      </c>
      <c r="F22" s="25">
        <v>390.19</v>
      </c>
      <c r="G22" s="25">
        <v>352.34</v>
      </c>
      <c r="H22" s="26"/>
      <c r="I22" s="25"/>
      <c r="J22" s="25"/>
      <c r="K22" s="25"/>
      <c r="L22" s="25"/>
      <c r="M22" s="25"/>
      <c r="N22" s="25"/>
      <c r="O22" s="25"/>
      <c r="P22" s="25"/>
      <c r="Q22" s="57">
        <f t="shared" si="1"/>
        <v>0</v>
      </c>
      <c r="R22" s="78">
        <f t="shared" si="0"/>
        <v>16068.09</v>
      </c>
      <c r="S22" s="59">
        <f t="shared" si="2"/>
        <v>16068.09</v>
      </c>
      <c r="U22" s="62"/>
      <c r="V22" s="77"/>
    </row>
    <row r="23" spans="1:22" ht="15.75">
      <c r="A23" s="55">
        <v>19</v>
      </c>
      <c r="B23" s="56" t="s">
        <v>23</v>
      </c>
      <c r="C23" s="25">
        <f>13289.18+8137.02</f>
        <v>21426.2</v>
      </c>
      <c r="D23" s="25">
        <f>9652.25+10706.84</f>
        <v>20359.09</v>
      </c>
      <c r="E23" s="25">
        <f>8662.44+4688.64</f>
        <v>13351.080000000002</v>
      </c>
      <c r="F23" s="25">
        <f>3266.7+2163.53</f>
        <v>5430.23</v>
      </c>
      <c r="G23" s="25">
        <f>1429.92+1214.6</f>
        <v>2644.52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78">
        <f t="shared" si="0"/>
        <v>63211.12</v>
      </c>
      <c r="S23" s="59">
        <f t="shared" si="2"/>
        <v>63211.12</v>
      </c>
      <c r="U23" s="62"/>
      <c r="V23" s="77"/>
    </row>
    <row r="24" spans="1:22" ht="15.75">
      <c r="A24" s="55">
        <v>20</v>
      </c>
      <c r="B24" s="56" t="s">
        <v>24</v>
      </c>
      <c r="C24" s="25">
        <f>5924.3+2956.09+19246.85+7121.31</f>
        <v>35248.549999999996</v>
      </c>
      <c r="D24" s="25">
        <f>7109.09+6131.79+30750.66+7970.73</f>
        <v>51962.270000000004</v>
      </c>
      <c r="E24" s="25">
        <f>439.28+2567.38+22447.52+3179.63</f>
        <v>28633.81</v>
      </c>
      <c r="F24" s="25">
        <f>884.14+103.37+978.55+1677.3</f>
        <v>3643.3599999999997</v>
      </c>
      <c r="G24" s="25">
        <f>763.06+533.33+1891.99+424.72</f>
        <v>3613.1000000000004</v>
      </c>
      <c r="H24" s="25">
        <f>1147.23+412.81</f>
        <v>1560.04</v>
      </c>
      <c r="I24" s="25"/>
      <c r="J24" s="25">
        <v>873.65</v>
      </c>
      <c r="K24" s="25"/>
      <c r="L24" s="25">
        <f>4294.62+38896.04+21473.1</f>
        <v>64663.76</v>
      </c>
      <c r="M24" s="25">
        <v>2269.54</v>
      </c>
      <c r="N24" s="25">
        <v>6808.62</v>
      </c>
      <c r="O24" s="25"/>
      <c r="P24" s="25">
        <v>15886.78</v>
      </c>
      <c r="Q24" s="57">
        <f t="shared" si="1"/>
        <v>92062.38999999998</v>
      </c>
      <c r="R24" s="78">
        <f t="shared" si="0"/>
        <v>215163.48</v>
      </c>
      <c r="S24" s="59">
        <f t="shared" si="2"/>
        <v>123101.09000000003</v>
      </c>
      <c r="U24" s="62"/>
      <c r="V24" s="77"/>
    </row>
    <row r="25" spans="1:22" ht="15.75">
      <c r="A25" s="55">
        <v>21</v>
      </c>
      <c r="B25" s="56" t="s">
        <v>25</v>
      </c>
      <c r="C25" s="25">
        <v>3179.32</v>
      </c>
      <c r="D25" s="25">
        <v>3850.27</v>
      </c>
      <c r="E25" s="25">
        <v>6253.98</v>
      </c>
      <c r="F25" s="25">
        <v>108.51</v>
      </c>
      <c r="G25" s="25">
        <v>479.33</v>
      </c>
      <c r="H25" s="26"/>
      <c r="I25" s="25"/>
      <c r="J25" s="25"/>
      <c r="K25" s="25"/>
      <c r="L25" s="25"/>
      <c r="M25" s="25"/>
      <c r="N25" s="25"/>
      <c r="O25" s="25"/>
      <c r="P25" s="25"/>
      <c r="Q25" s="57">
        <f t="shared" si="1"/>
        <v>0</v>
      </c>
      <c r="R25" s="78">
        <f t="shared" si="0"/>
        <v>13871.41</v>
      </c>
      <c r="S25" s="59">
        <f t="shared" si="2"/>
        <v>13871.41</v>
      </c>
      <c r="U25" s="62"/>
      <c r="V25" s="77"/>
    </row>
    <row r="26" spans="1:22" ht="15.75">
      <c r="A26" s="55">
        <v>22</v>
      </c>
      <c r="B26" s="56" t="s">
        <v>26</v>
      </c>
      <c r="C26" s="25">
        <f>11876.28+5055.51</f>
        <v>16931.79</v>
      </c>
      <c r="D26" s="25">
        <f>13410.28+3940.6</f>
        <v>17350.88</v>
      </c>
      <c r="E26" s="25">
        <f>7164.42+3193.11</f>
        <v>10357.53</v>
      </c>
      <c r="F26" s="25">
        <f>1798.85+1891.87</f>
        <v>3690.72</v>
      </c>
      <c r="G26" s="25">
        <f>2095+580.79</f>
        <v>2675.79</v>
      </c>
      <c r="H26" s="26"/>
      <c r="I26" s="25"/>
      <c r="J26" s="25"/>
      <c r="K26" s="25"/>
      <c r="L26" s="25">
        <v>3315</v>
      </c>
      <c r="M26" s="25"/>
      <c r="N26" s="25"/>
      <c r="O26" s="25">
        <v>2340.4</v>
      </c>
      <c r="P26" s="25"/>
      <c r="Q26" s="57">
        <f t="shared" si="1"/>
        <v>5655.4</v>
      </c>
      <c r="R26" s="78">
        <f t="shared" si="0"/>
        <v>56662.11</v>
      </c>
      <c r="S26" s="59">
        <f t="shared" si="2"/>
        <v>51006.71</v>
      </c>
      <c r="U26" s="62"/>
      <c r="V26" s="77"/>
    </row>
    <row r="27" spans="1:22" ht="15.75">
      <c r="A27" s="55">
        <v>23</v>
      </c>
      <c r="B27" s="56" t="s">
        <v>27</v>
      </c>
      <c r="C27" s="25">
        <f>4658.73+5009.44</f>
        <v>9668.169999999998</v>
      </c>
      <c r="D27" s="25">
        <f>4980.2+4312.48</f>
        <v>9292.68</v>
      </c>
      <c r="E27" s="25">
        <f>8488.73+3655.45</f>
        <v>12144.18</v>
      </c>
      <c r="F27" s="25">
        <f>515.61+307.78</f>
        <v>823.39</v>
      </c>
      <c r="G27" s="25">
        <f>545.72+350.22</f>
        <v>895.94</v>
      </c>
      <c r="H27" s="26"/>
      <c r="I27" s="25"/>
      <c r="J27" s="25"/>
      <c r="K27" s="25"/>
      <c r="L27" s="25"/>
      <c r="M27" s="25"/>
      <c r="N27" s="25"/>
      <c r="O27" s="25"/>
      <c r="P27" s="25"/>
      <c r="Q27" s="57">
        <f t="shared" si="1"/>
        <v>0</v>
      </c>
      <c r="R27" s="78">
        <f t="shared" si="0"/>
        <v>32824.36</v>
      </c>
      <c r="S27" s="59">
        <f t="shared" si="2"/>
        <v>32824.36</v>
      </c>
      <c r="U27" s="62"/>
      <c r="V27" s="77"/>
    </row>
    <row r="28" spans="1:22" ht="15.75">
      <c r="A28" s="55">
        <v>24</v>
      </c>
      <c r="B28" s="56" t="s">
        <v>28</v>
      </c>
      <c r="C28" s="25">
        <f>18483.41+21018.63+20658.43</f>
        <v>60160.47</v>
      </c>
      <c r="D28" s="25">
        <f>28200.72+34621.16+20651.55</f>
        <v>83473.43000000001</v>
      </c>
      <c r="E28" s="25">
        <f>11383.25+13485.69+6711.38</f>
        <v>31580.320000000003</v>
      </c>
      <c r="F28" s="25">
        <f>1948.87+2185.6+1000.22</f>
        <v>5134.69</v>
      </c>
      <c r="G28" s="25">
        <f>2290.92+2692.05+2300.83</f>
        <v>7283.8</v>
      </c>
      <c r="H28" s="26"/>
      <c r="I28" s="25"/>
      <c r="J28" s="25"/>
      <c r="K28" s="25"/>
      <c r="L28" s="25">
        <f>2269.54+2269.54</f>
        <v>4539.08</v>
      </c>
      <c r="M28" s="25">
        <v>2269.54</v>
      </c>
      <c r="N28" s="25">
        <v>6808.62</v>
      </c>
      <c r="O28" s="25"/>
      <c r="P28" s="25"/>
      <c r="Q28" s="57">
        <f t="shared" si="1"/>
        <v>13617.24</v>
      </c>
      <c r="R28" s="78">
        <f t="shared" si="0"/>
        <v>201249.95</v>
      </c>
      <c r="S28" s="59">
        <f t="shared" si="2"/>
        <v>187632.71000000002</v>
      </c>
      <c r="U28" s="62"/>
      <c r="V28" s="77"/>
    </row>
    <row r="29" spans="1:22" ht="15.75">
      <c r="A29" s="55">
        <v>25</v>
      </c>
      <c r="B29" s="56" t="s">
        <v>29</v>
      </c>
      <c r="C29" s="25">
        <f>36863.12+5417.85</f>
        <v>42280.97</v>
      </c>
      <c r="D29" s="25">
        <f>42030.64+4178.26</f>
        <v>46208.9</v>
      </c>
      <c r="E29" s="25">
        <f>19486.55+1204.12</f>
        <v>20690.67</v>
      </c>
      <c r="F29" s="25">
        <f>2962.08+920.4</f>
        <v>3882.48</v>
      </c>
      <c r="G29" s="25">
        <f>5010.51+617.71</f>
        <v>5628.22</v>
      </c>
      <c r="H29" s="26">
        <v>655.59</v>
      </c>
      <c r="I29" s="25"/>
      <c r="J29" s="25"/>
      <c r="K29" s="25"/>
      <c r="L29" s="25"/>
      <c r="M29" s="25"/>
      <c r="N29" s="25">
        <v>4539.08</v>
      </c>
      <c r="O29" s="25"/>
      <c r="P29" s="25"/>
      <c r="Q29" s="57">
        <f t="shared" si="1"/>
        <v>5194.67</v>
      </c>
      <c r="R29" s="78">
        <f t="shared" si="0"/>
        <v>123885.90999999999</v>
      </c>
      <c r="S29" s="59">
        <f t="shared" si="2"/>
        <v>118691.23999999999</v>
      </c>
      <c r="U29" s="62"/>
      <c r="V29" s="77"/>
    </row>
    <row r="30" spans="1:22" ht="15.75">
      <c r="A30" s="55">
        <v>26</v>
      </c>
      <c r="B30" s="56" t="s">
        <v>39</v>
      </c>
      <c r="C30" s="25">
        <v>3917.86</v>
      </c>
      <c r="D30" s="25">
        <v>4070.84</v>
      </c>
      <c r="E30" s="25">
        <v>1843.72</v>
      </c>
      <c r="F30" s="25">
        <v>561.26</v>
      </c>
      <c r="G30" s="25">
        <v>293.05</v>
      </c>
      <c r="H30" s="26"/>
      <c r="I30" s="25"/>
      <c r="J30" s="25"/>
      <c r="K30" s="25"/>
      <c r="L30" s="25"/>
      <c r="M30" s="25"/>
      <c r="N30" s="25"/>
      <c r="O30" s="25"/>
      <c r="P30" s="25"/>
      <c r="Q30" s="57">
        <f t="shared" si="1"/>
        <v>0</v>
      </c>
      <c r="R30" s="78">
        <f t="shared" si="0"/>
        <v>10686.73</v>
      </c>
      <c r="S30" s="59">
        <f t="shared" si="2"/>
        <v>10686.73</v>
      </c>
      <c r="U30" s="62"/>
      <c r="V30" s="77"/>
    </row>
    <row r="31" spans="1:22" ht="15.75">
      <c r="A31" s="55">
        <v>27</v>
      </c>
      <c r="B31" s="56" t="s">
        <v>40</v>
      </c>
      <c r="C31" s="25">
        <f>13097.97+1741.77+2973.53+4067.35+3606.29</f>
        <v>25486.91</v>
      </c>
      <c r="D31" s="25">
        <f>11607.7+1791.9+2988.86+6323.65+3315.16</f>
        <v>26027.27</v>
      </c>
      <c r="E31" s="25">
        <f>12336.57+430.44+4027.02+6167.09+1594.25</f>
        <v>24555.37</v>
      </c>
      <c r="F31" s="25">
        <f>2113.06+13.93+413.14+864.1+158.42</f>
        <v>3562.6499999999996</v>
      </c>
      <c r="G31" s="25">
        <f>1047.12+218.95+245.38+313.72+650.64</f>
        <v>2475.81</v>
      </c>
      <c r="H31" s="26"/>
      <c r="I31" s="25"/>
      <c r="J31" s="25">
        <v>1702.27</v>
      </c>
      <c r="K31" s="25">
        <v>5673.85</v>
      </c>
      <c r="L31" s="25"/>
      <c r="M31" s="25">
        <v>2783.53</v>
      </c>
      <c r="N31" s="25"/>
      <c r="O31" s="25"/>
      <c r="P31" s="25"/>
      <c r="Q31" s="57">
        <f t="shared" si="1"/>
        <v>10159.650000000001</v>
      </c>
      <c r="R31" s="78">
        <f t="shared" si="0"/>
        <v>92267.66</v>
      </c>
      <c r="S31" s="59">
        <f t="shared" si="2"/>
        <v>82108.01000000001</v>
      </c>
      <c r="U31" s="62"/>
      <c r="V31" s="77"/>
    </row>
    <row r="32" spans="1:22" ht="15.75">
      <c r="A32" s="55">
        <v>28</v>
      </c>
      <c r="B32" s="56" t="s">
        <v>41</v>
      </c>
      <c r="C32" s="25">
        <v>18902.31</v>
      </c>
      <c r="D32" s="25">
        <v>25026.25</v>
      </c>
      <c r="E32" s="25">
        <v>9033.75</v>
      </c>
      <c r="F32" s="25">
        <v>2749.93</v>
      </c>
      <c r="G32" s="25">
        <v>2507.79</v>
      </c>
      <c r="H32" s="26"/>
      <c r="I32" s="25"/>
      <c r="J32" s="25"/>
      <c r="K32" s="25"/>
      <c r="L32" s="25"/>
      <c r="M32" s="25"/>
      <c r="N32" s="25"/>
      <c r="O32" s="25"/>
      <c r="P32" s="25"/>
      <c r="Q32" s="57">
        <f t="shared" si="1"/>
        <v>0</v>
      </c>
      <c r="R32" s="78">
        <f t="shared" si="0"/>
        <v>58220.03</v>
      </c>
      <c r="S32" s="59">
        <f t="shared" si="2"/>
        <v>58220.03</v>
      </c>
      <c r="U32" s="62"/>
      <c r="V32" s="77"/>
    </row>
    <row r="33" spans="1:22" ht="15.75">
      <c r="A33" s="55">
        <v>29</v>
      </c>
      <c r="B33" s="56" t="s">
        <v>43</v>
      </c>
      <c r="C33" s="25">
        <v>7704.19</v>
      </c>
      <c r="D33" s="25">
        <v>5777.73</v>
      </c>
      <c r="E33" s="25">
        <v>2689.4</v>
      </c>
      <c r="F33" s="25">
        <v>1573.83</v>
      </c>
      <c r="G33" s="25">
        <v>896.46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78">
        <f t="shared" si="0"/>
        <v>18641.609999999997</v>
      </c>
      <c r="S33" s="59">
        <f t="shared" si="2"/>
        <v>18641.609999999997</v>
      </c>
      <c r="U33" s="62"/>
      <c r="V33" s="77"/>
    </row>
    <row r="34" spans="1:56" s="48" customFormat="1" ht="15.75">
      <c r="A34" s="55">
        <v>30</v>
      </c>
      <c r="B34" s="56" t="s">
        <v>45</v>
      </c>
      <c r="C34" s="25">
        <v>7981.28</v>
      </c>
      <c r="D34" s="25">
        <v>8432.33</v>
      </c>
      <c r="E34" s="25">
        <v>7025.86</v>
      </c>
      <c r="F34" s="25">
        <v>1502.66</v>
      </c>
      <c r="G34" s="25">
        <v>668.57</v>
      </c>
      <c r="H34" s="25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78">
        <f t="shared" si="0"/>
        <v>25610.7</v>
      </c>
      <c r="S34" s="59">
        <f t="shared" si="2"/>
        <v>25610.7</v>
      </c>
      <c r="T34" s="4"/>
      <c r="U34" s="62"/>
      <c r="V34" s="7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22" s="4" customFormat="1" ht="15.75">
      <c r="A35" s="55">
        <v>31</v>
      </c>
      <c r="B35" s="56" t="s">
        <v>58</v>
      </c>
      <c r="C35" s="25">
        <v>4030.21</v>
      </c>
      <c r="D35" s="25">
        <v>4128.1</v>
      </c>
      <c r="E35" s="25">
        <v>1574.15</v>
      </c>
      <c r="F35" s="25">
        <v>387.05</v>
      </c>
      <c r="G35" s="25">
        <v>319.15</v>
      </c>
      <c r="H35" s="25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78">
        <f t="shared" si="0"/>
        <v>10438.66</v>
      </c>
      <c r="S35" s="59">
        <f t="shared" si="2"/>
        <v>10438.66</v>
      </c>
      <c r="U35" s="62"/>
      <c r="V35" s="77"/>
    </row>
    <row r="36" spans="1:22" s="4" customFormat="1" ht="15.75">
      <c r="A36" s="55">
        <v>32</v>
      </c>
      <c r="B36" s="56" t="s">
        <v>59</v>
      </c>
      <c r="C36" s="25">
        <v>7586.49</v>
      </c>
      <c r="D36" s="25">
        <v>7098.16</v>
      </c>
      <c r="E36" s="25">
        <v>1387.46</v>
      </c>
      <c r="F36" s="25">
        <v>3183.68</v>
      </c>
      <c r="G36" s="25">
        <v>667.14</v>
      </c>
      <c r="H36" s="25"/>
      <c r="I36" s="25"/>
      <c r="J36" s="25"/>
      <c r="K36" s="25"/>
      <c r="L36" s="25"/>
      <c r="M36" s="25"/>
      <c r="N36" s="25"/>
      <c r="O36" s="25"/>
      <c r="P36" s="25"/>
      <c r="Q36" s="57">
        <f t="shared" si="1"/>
        <v>0</v>
      </c>
      <c r="R36" s="78">
        <f t="shared" si="0"/>
        <v>19922.93</v>
      </c>
      <c r="S36" s="59">
        <f t="shared" si="2"/>
        <v>19922.93</v>
      </c>
      <c r="U36" s="62"/>
      <c r="V36" s="77"/>
    </row>
    <row r="37" spans="1:22" s="4" customFormat="1" ht="16.5" thickBot="1">
      <c r="A37" s="55">
        <v>33</v>
      </c>
      <c r="B37" s="56" t="s">
        <v>68</v>
      </c>
      <c r="C37" s="25">
        <v>5267.01</v>
      </c>
      <c r="D37" s="25">
        <v>3141.24</v>
      </c>
      <c r="E37" s="25">
        <v>1029.29</v>
      </c>
      <c r="F37" s="25">
        <v>3135.32</v>
      </c>
      <c r="G37" s="25">
        <v>352.47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78">
        <f t="shared" si="0"/>
        <v>12925.33</v>
      </c>
      <c r="S37" s="59">
        <f t="shared" si="2"/>
        <v>12925.33</v>
      </c>
      <c r="U37" s="62"/>
      <c r="V37" s="77"/>
    </row>
    <row r="38" spans="1:56" s="49" customFormat="1" ht="26.25" customHeight="1" thickBot="1">
      <c r="A38" s="57"/>
      <c r="B38" s="57" t="s">
        <v>30</v>
      </c>
      <c r="C38" s="57">
        <f>SUM(C5:C37)</f>
        <v>859190.49</v>
      </c>
      <c r="D38" s="57">
        <f>SUM(D5:D37)</f>
        <v>972585.1499999999</v>
      </c>
      <c r="E38" s="57">
        <f>SUM(E5:E37)</f>
        <v>707000.0200000001</v>
      </c>
      <c r="F38" s="57">
        <f>SUM(F5:F37)</f>
        <v>121164.88999999998</v>
      </c>
      <c r="G38" s="57">
        <f>SUM(G5:G37)</f>
        <v>100749.46000000002</v>
      </c>
      <c r="H38" s="57">
        <f aca="true" t="shared" si="3" ref="H38:P38">SUM(H5:H37)</f>
        <v>9725.96</v>
      </c>
      <c r="I38" s="57">
        <f t="shared" si="3"/>
        <v>163.89</v>
      </c>
      <c r="J38" s="57">
        <f t="shared" si="3"/>
        <v>13233.039999999999</v>
      </c>
      <c r="K38" s="57">
        <f t="shared" si="3"/>
        <v>13369.130000000001</v>
      </c>
      <c r="L38" s="57">
        <f t="shared" si="3"/>
        <v>154061.53</v>
      </c>
      <c r="M38" s="57">
        <f t="shared" si="3"/>
        <v>10726.92</v>
      </c>
      <c r="N38" s="57">
        <f t="shared" si="3"/>
        <v>76574.14000000001</v>
      </c>
      <c r="O38" s="57">
        <f t="shared" si="3"/>
        <v>4183.54</v>
      </c>
      <c r="P38" s="57">
        <f t="shared" si="3"/>
        <v>32160.31</v>
      </c>
      <c r="Q38" s="57">
        <f>SUM(Q5:Q37)</f>
        <v>314198.46</v>
      </c>
      <c r="R38" s="58">
        <f>SUM(R5:R37)</f>
        <v>3074888.4700000007</v>
      </c>
      <c r="S38" s="59">
        <f>SUM(S5:S37)</f>
        <v>2760690.010000001</v>
      </c>
      <c r="T38" s="76"/>
      <c r="U38" s="62"/>
      <c r="V38" s="7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2:19" ht="15.75">
      <c r="B39" s="29"/>
      <c r="C39" s="30"/>
      <c r="D39" s="30"/>
      <c r="E39" s="30"/>
      <c r="F39" s="31"/>
      <c r="G39" s="31"/>
      <c r="H39" s="32"/>
      <c r="I39" s="30"/>
      <c r="J39" s="30"/>
      <c r="K39" s="30"/>
      <c r="L39" s="30"/>
      <c r="M39" s="30"/>
      <c r="N39" s="30"/>
      <c r="O39" s="30"/>
      <c r="P39" s="30"/>
      <c r="Q39" s="30"/>
      <c r="S39" s="32"/>
    </row>
    <row r="40" spans="2:19" ht="15.75">
      <c r="B40" s="33"/>
      <c r="C40" s="30"/>
      <c r="D40" s="30"/>
      <c r="E40" s="30"/>
      <c r="F40" s="31"/>
      <c r="G40" s="31"/>
      <c r="H40" s="32"/>
      <c r="I40" s="30"/>
      <c r="J40" s="30"/>
      <c r="K40" s="30"/>
      <c r="L40" s="30"/>
      <c r="M40" s="30"/>
      <c r="N40" s="30"/>
      <c r="O40" s="30"/>
      <c r="P40" s="30"/>
      <c r="Q40" s="30"/>
      <c r="S40" s="32"/>
    </row>
    <row r="41" spans="2:18" ht="15">
      <c r="B41" s="8"/>
      <c r="C41" s="1"/>
      <c r="D41" s="1"/>
      <c r="E41" s="1"/>
      <c r="F41" s="2"/>
      <c r="G41" s="2"/>
      <c r="H41" s="15"/>
      <c r="I41" s="1"/>
      <c r="J41" s="1"/>
      <c r="K41" s="1"/>
      <c r="L41" s="1"/>
      <c r="M41" s="1"/>
      <c r="N41" s="1"/>
      <c r="O41" s="1"/>
      <c r="P41" s="1"/>
      <c r="Q41" s="1"/>
      <c r="R41" s="3"/>
    </row>
    <row r="42" spans="2:18" ht="15">
      <c r="B42" s="8"/>
      <c r="C42" s="1"/>
      <c r="D42" s="1"/>
      <c r="E42" s="1"/>
      <c r="F42" s="2"/>
      <c r="G42" s="2"/>
      <c r="H42" s="16"/>
      <c r="I42" s="1"/>
      <c r="J42" s="1"/>
      <c r="K42" s="1"/>
      <c r="L42" s="1"/>
      <c r="M42" s="1"/>
      <c r="N42" s="1"/>
      <c r="O42" s="1"/>
      <c r="P42" s="1"/>
      <c r="Q42" s="1"/>
      <c r="R42" s="3"/>
    </row>
    <row r="43" spans="2:17" ht="15">
      <c r="B43" s="8"/>
      <c r="C43" s="1"/>
      <c r="D43" s="1"/>
      <c r="E43" s="1"/>
      <c r="F43" s="2"/>
      <c r="G43" s="2"/>
      <c r="H43" s="15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8"/>
      <c r="C44" s="1"/>
      <c r="D44" s="1"/>
      <c r="E44" s="1"/>
      <c r="F44" s="2"/>
      <c r="G44" s="2"/>
      <c r="H44" s="15"/>
      <c r="I44" s="1"/>
      <c r="J44" s="1"/>
      <c r="K44" s="1"/>
      <c r="L44" s="1"/>
      <c r="M44" s="1"/>
      <c r="N44" s="1"/>
      <c r="O44" s="1"/>
      <c r="P44" s="1"/>
      <c r="Q44" s="1"/>
    </row>
    <row r="45" spans="2:19" ht="12.75">
      <c r="B45" s="14"/>
      <c r="S45" s="63"/>
    </row>
    <row r="46" spans="2:12" ht="12.75">
      <c r="B46" s="9"/>
      <c r="F46" s="3"/>
      <c r="G46" s="3"/>
      <c r="L46" s="3"/>
    </row>
    <row r="47" ht="12.75">
      <c r="B47" s="9"/>
    </row>
    <row r="48" ht="12.75">
      <c r="B48" s="9"/>
    </row>
    <row r="49" ht="12.75">
      <c r="B49" s="9"/>
    </row>
    <row r="50" spans="2:10" ht="12.75">
      <c r="B50" s="9"/>
      <c r="J50" s="3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spans="2:19" ht="12.75">
      <c r="B55" s="10"/>
      <c r="C55" s="4"/>
      <c r="D55" s="4"/>
      <c r="E55" s="4"/>
      <c r="F55" s="4"/>
      <c r="G55" s="4"/>
      <c r="H55" s="18"/>
      <c r="I55" s="4"/>
      <c r="J55" s="4"/>
      <c r="K55" s="4"/>
      <c r="L55" s="4"/>
      <c r="M55" s="4"/>
      <c r="N55" s="4"/>
      <c r="O55" s="4"/>
      <c r="P55" s="4"/>
      <c r="Q55" s="4"/>
      <c r="R55" s="4"/>
      <c r="S55" s="13"/>
    </row>
    <row r="56" spans="2:19" ht="12.75">
      <c r="B56" s="10"/>
      <c r="C56" s="4"/>
      <c r="D56" s="4"/>
      <c r="E56" s="4"/>
      <c r="F56" s="4"/>
      <c r="G56" s="4"/>
      <c r="H56" s="18"/>
      <c r="I56" s="4"/>
      <c r="J56" s="4"/>
      <c r="K56" s="4"/>
      <c r="L56" s="4"/>
      <c r="M56" s="4"/>
      <c r="N56" s="4"/>
      <c r="O56" s="4"/>
      <c r="P56" s="4"/>
      <c r="Q56" s="4"/>
      <c r="R56" s="4"/>
      <c r="S56" s="13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C6" sqref="C6:C38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85" t="s">
        <v>86</v>
      </c>
      <c r="B3" s="85"/>
      <c r="C3" s="85"/>
      <c r="D3" s="85"/>
      <c r="E3" s="85"/>
      <c r="F3" s="85"/>
      <c r="G3" s="85"/>
    </row>
    <row r="4" spans="1:7" ht="14.25">
      <c r="A4" s="87"/>
      <c r="B4" s="87"/>
      <c r="C4" s="87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90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4"/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/>
    </row>
    <row r="11" spans="1:3" ht="15.75">
      <c r="A11" s="55">
        <v>6</v>
      </c>
      <c r="B11" s="56" t="s">
        <v>11</v>
      </c>
      <c r="C11" s="64"/>
    </row>
    <row r="12" spans="1:3" ht="15.75">
      <c r="A12" s="55">
        <v>7</v>
      </c>
      <c r="B12" s="56" t="s">
        <v>57</v>
      </c>
      <c r="C12" s="64"/>
    </row>
    <row r="13" spans="1:3" ht="15.75">
      <c r="A13" s="55">
        <v>8</v>
      </c>
      <c r="B13" s="56" t="s">
        <v>12</v>
      </c>
      <c r="C13" s="64">
        <v>36363.65</v>
      </c>
    </row>
    <row r="14" spans="1:3" ht="15.75">
      <c r="A14" s="55">
        <v>9</v>
      </c>
      <c r="B14" s="56" t="s">
        <v>13</v>
      </c>
      <c r="C14" s="64"/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/>
    </row>
    <row r="17" spans="1:3" ht="15.75">
      <c r="A17" s="55">
        <v>12</v>
      </c>
      <c r="B17" s="56" t="s">
        <v>16</v>
      </c>
      <c r="C17" s="64"/>
    </row>
    <row r="18" spans="1:3" ht="15.75">
      <c r="A18" s="55">
        <v>13</v>
      </c>
      <c r="B18" s="56" t="s">
        <v>17</v>
      </c>
      <c r="C18" s="64"/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/>
    </row>
    <row r="22" spans="1:3" ht="15.75">
      <c r="A22" s="55">
        <v>17</v>
      </c>
      <c r="B22" s="56" t="s">
        <v>21</v>
      </c>
      <c r="C22" s="64"/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/>
    </row>
    <row r="25" spans="1:3" ht="15.75">
      <c r="A25" s="55">
        <v>20</v>
      </c>
      <c r="B25" s="56" t="s">
        <v>24</v>
      </c>
      <c r="C25" s="64"/>
    </row>
    <row r="26" spans="1:3" ht="15.75">
      <c r="A26" s="55">
        <v>21</v>
      </c>
      <c r="B26" s="56" t="s">
        <v>25</v>
      </c>
      <c r="C26" s="64"/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>
        <v>433.14</v>
      </c>
    </row>
    <row r="30" spans="1:3" ht="15.75">
      <c r="A30" s="55">
        <v>25</v>
      </c>
      <c r="B30" s="56" t="s">
        <v>29</v>
      </c>
      <c r="C30" s="64"/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/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/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/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36796.79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">
      <selection activeCell="C6" sqref="C6:C38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85" t="s">
        <v>87</v>
      </c>
      <c r="B3" s="85"/>
      <c r="C3" s="85"/>
      <c r="D3" s="85"/>
      <c r="E3" s="85"/>
      <c r="F3" s="85"/>
      <c r="G3" s="85"/>
      <c r="H3" s="85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67</v>
      </c>
    </row>
    <row r="6" spans="1:3" ht="15.75">
      <c r="A6" s="55">
        <v>1</v>
      </c>
      <c r="B6" s="56" t="s">
        <v>6</v>
      </c>
      <c r="C6" s="64"/>
    </row>
    <row r="7" spans="1:3" ht="15.75">
      <c r="A7" s="55">
        <v>2</v>
      </c>
      <c r="B7" s="56" t="s">
        <v>7</v>
      </c>
      <c r="C7" s="64"/>
    </row>
    <row r="8" spans="1:3" ht="15.75">
      <c r="A8" s="55">
        <v>3</v>
      </c>
      <c r="B8" s="56" t="s">
        <v>8</v>
      </c>
      <c r="C8" s="64"/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/>
    </row>
    <row r="11" spans="1:3" ht="15.75">
      <c r="A11" s="55">
        <v>6</v>
      </c>
      <c r="B11" s="56" t="s">
        <v>11</v>
      </c>
      <c r="C11" s="64">
        <v>817.04</v>
      </c>
    </row>
    <row r="12" spans="1:3" ht="15.75">
      <c r="A12" s="55">
        <v>7</v>
      </c>
      <c r="B12" s="56" t="s">
        <v>57</v>
      </c>
      <c r="C12" s="64"/>
    </row>
    <row r="13" spans="1:3" ht="15.75">
      <c r="A13" s="55">
        <v>8</v>
      </c>
      <c r="B13" s="56" t="s">
        <v>12</v>
      </c>
      <c r="C13" s="64"/>
    </row>
    <row r="14" spans="1:3" ht="15.75">
      <c r="A14" s="55">
        <v>9</v>
      </c>
      <c r="B14" s="56" t="s">
        <v>13</v>
      </c>
      <c r="C14" s="64"/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/>
    </row>
    <row r="17" spans="1:3" ht="15.75">
      <c r="A17" s="55">
        <v>12</v>
      </c>
      <c r="B17" s="56" t="s">
        <v>16</v>
      </c>
      <c r="C17" s="64"/>
    </row>
    <row r="18" spans="1:3" ht="15.75">
      <c r="A18" s="55">
        <v>13</v>
      </c>
      <c r="B18" s="56" t="s">
        <v>17</v>
      </c>
      <c r="C18" s="64">
        <v>440.5</v>
      </c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/>
    </row>
    <row r="22" spans="1:3" ht="15.75">
      <c r="A22" s="55">
        <v>17</v>
      </c>
      <c r="B22" s="56" t="s">
        <v>21</v>
      </c>
      <c r="C22" s="64"/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/>
    </row>
    <row r="25" spans="1:3" ht="15.75">
      <c r="A25" s="55">
        <v>20</v>
      </c>
      <c r="B25" s="56" t="s">
        <v>24</v>
      </c>
      <c r="C25" s="64">
        <v>445.65</v>
      </c>
    </row>
    <row r="26" spans="1:3" ht="15.75">
      <c r="A26" s="55">
        <v>21</v>
      </c>
      <c r="B26" s="56" t="s">
        <v>25</v>
      </c>
      <c r="C26" s="64"/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>
        <v>440.51</v>
      </c>
    </row>
    <row r="30" spans="1:3" ht="15.75">
      <c r="A30" s="55">
        <v>25</v>
      </c>
      <c r="B30" s="56" t="s">
        <v>29</v>
      </c>
      <c r="C30" s="64"/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/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/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>
        <v>445.66</v>
      </c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2589.3599999999997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2"/>
  <sheetViews>
    <sheetView view="pageBreakPreview" zoomScale="60" workbookViewId="0" topLeftCell="A1">
      <selection activeCell="F39" sqref="F39"/>
    </sheetView>
  </sheetViews>
  <sheetFormatPr defaultColWidth="9.140625" defaultRowHeight="12.75"/>
  <cols>
    <col min="1" max="1" width="9.7109375" style="0" bestFit="1" customWidth="1"/>
    <col min="2" max="2" width="33.28125" style="0" customWidth="1"/>
    <col min="3" max="3" width="15.140625" style="0" customWidth="1"/>
    <col min="4" max="4" width="13.00390625" style="0" bestFit="1" customWidth="1"/>
    <col min="5" max="5" width="10.8515625" style="0" customWidth="1"/>
    <col min="6" max="7" width="11.57421875" style="0" customWidth="1"/>
    <col min="8" max="8" width="13.7109375" style="0" customWidth="1"/>
    <col min="9" max="9" width="15.00390625" style="0" customWidth="1"/>
  </cols>
  <sheetData>
    <row r="3" spans="1:12" ht="15">
      <c r="A3" s="61" t="s">
        <v>88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36"/>
      <c r="B4" s="36"/>
      <c r="C4" s="38"/>
      <c r="D4" s="1"/>
      <c r="E4" s="1"/>
      <c r="F4" s="1"/>
      <c r="G4" s="1"/>
      <c r="H4" s="1"/>
      <c r="I4" s="1"/>
      <c r="J4" s="1"/>
      <c r="K4" s="36"/>
      <c r="L4" s="36"/>
    </row>
    <row r="5" spans="1:12" ht="30">
      <c r="A5" s="68" t="s">
        <v>0</v>
      </c>
      <c r="B5" s="68" t="s">
        <v>1</v>
      </c>
      <c r="C5" s="68" t="s">
        <v>69</v>
      </c>
      <c r="D5" s="68" t="s">
        <v>70</v>
      </c>
      <c r="E5" s="68" t="s">
        <v>73</v>
      </c>
      <c r="F5" s="68" t="s">
        <v>74</v>
      </c>
      <c r="G5" s="68" t="s">
        <v>76</v>
      </c>
      <c r="H5" s="68" t="s">
        <v>71</v>
      </c>
      <c r="I5" s="69" t="s">
        <v>72</v>
      </c>
      <c r="J5" s="36"/>
      <c r="K5" s="36"/>
      <c r="L5" s="36"/>
    </row>
    <row r="6" spans="1:12" ht="15.75">
      <c r="A6" s="55">
        <v>1</v>
      </c>
      <c r="B6" s="56" t="s">
        <v>6</v>
      </c>
      <c r="C6" s="6">
        <v>1667.6</v>
      </c>
      <c r="D6" s="6">
        <v>3325.26</v>
      </c>
      <c r="E6" s="6">
        <v>2821.9</v>
      </c>
      <c r="F6" s="6"/>
      <c r="G6" s="6"/>
      <c r="H6" s="6">
        <v>3134.99</v>
      </c>
      <c r="I6" s="66">
        <f>C6+D6+E6+F6+G6+H6</f>
        <v>10949.75</v>
      </c>
      <c r="J6" s="36"/>
      <c r="K6" s="36"/>
      <c r="L6" s="36"/>
    </row>
    <row r="7" spans="1:9" ht="15.75">
      <c r="A7" s="55">
        <v>2</v>
      </c>
      <c r="B7" s="56" t="s">
        <v>7</v>
      </c>
      <c r="C7" s="64">
        <v>333.52</v>
      </c>
      <c r="D7" s="64">
        <v>646.58</v>
      </c>
      <c r="E7" s="64"/>
      <c r="F7" s="64"/>
      <c r="G7" s="64"/>
      <c r="H7" s="64">
        <v>150.73</v>
      </c>
      <c r="I7" s="66">
        <f aca="true" t="shared" si="0" ref="I7:I39">C7+D7+E7+F7+G7+H7</f>
        <v>1130.83</v>
      </c>
    </row>
    <row r="8" spans="1:9" ht="15.75">
      <c r="A8" s="55">
        <v>3</v>
      </c>
      <c r="B8" s="56" t="s">
        <v>8</v>
      </c>
      <c r="C8" s="64"/>
      <c r="D8" s="64">
        <v>2065.18</v>
      </c>
      <c r="E8" s="64"/>
      <c r="F8" s="64"/>
      <c r="G8" s="64"/>
      <c r="H8" s="64">
        <v>1065.19</v>
      </c>
      <c r="I8" s="66">
        <f t="shared" si="0"/>
        <v>3130.37</v>
      </c>
    </row>
    <row r="9" spans="1:9" ht="15.75">
      <c r="A9" s="55">
        <v>4</v>
      </c>
      <c r="B9" s="56" t="s">
        <v>9</v>
      </c>
      <c r="C9" s="64"/>
      <c r="D9" s="64">
        <v>709.3</v>
      </c>
      <c r="E9" s="64"/>
      <c r="F9" s="64"/>
      <c r="G9" s="64"/>
      <c r="H9" s="64">
        <v>171.82</v>
      </c>
      <c r="I9" s="66">
        <f t="shared" si="0"/>
        <v>881.1199999999999</v>
      </c>
    </row>
    <row r="10" spans="1:9" ht="15.75">
      <c r="A10" s="55">
        <v>5</v>
      </c>
      <c r="B10" s="56" t="s">
        <v>10</v>
      </c>
      <c r="C10" s="64"/>
      <c r="D10" s="64">
        <v>2711.76</v>
      </c>
      <c r="E10" s="64"/>
      <c r="F10" s="64"/>
      <c r="G10" s="64"/>
      <c r="H10" s="64">
        <v>1316.18</v>
      </c>
      <c r="I10" s="66">
        <f t="shared" si="0"/>
        <v>4027.9400000000005</v>
      </c>
    </row>
    <row r="11" spans="1:9" ht="15.75">
      <c r="A11" s="55">
        <v>6</v>
      </c>
      <c r="B11" s="56" t="s">
        <v>11</v>
      </c>
      <c r="C11" s="64">
        <v>667.04</v>
      </c>
      <c r="D11" s="64">
        <v>2065.18</v>
      </c>
      <c r="E11" s="64"/>
      <c r="F11" s="64"/>
      <c r="G11" s="64"/>
      <c r="H11" s="64">
        <v>3093.64</v>
      </c>
      <c r="I11" s="66">
        <f t="shared" si="0"/>
        <v>5825.86</v>
      </c>
    </row>
    <row r="12" spans="1:9" ht="15.75">
      <c r="A12" s="55">
        <v>7</v>
      </c>
      <c r="B12" s="56" t="s">
        <v>57</v>
      </c>
      <c r="C12" s="64"/>
      <c r="D12" s="64">
        <v>2002.46</v>
      </c>
      <c r="E12" s="64"/>
      <c r="F12" s="64"/>
      <c r="G12" s="64"/>
      <c r="H12" s="64">
        <v>4233.19</v>
      </c>
      <c r="I12" s="66">
        <f t="shared" si="0"/>
        <v>6235.65</v>
      </c>
    </row>
    <row r="13" spans="1:9" ht="15.75">
      <c r="A13" s="55">
        <v>8</v>
      </c>
      <c r="B13" s="56" t="s">
        <v>12</v>
      </c>
      <c r="C13" s="64"/>
      <c r="D13" s="64"/>
      <c r="E13" s="64">
        <v>951.57</v>
      </c>
      <c r="F13" s="64"/>
      <c r="G13" s="64"/>
      <c r="H13" s="64">
        <v>621.13</v>
      </c>
      <c r="I13" s="66">
        <f t="shared" si="0"/>
        <v>1572.7</v>
      </c>
    </row>
    <row r="14" spans="1:9" ht="15.75">
      <c r="A14" s="55">
        <v>9</v>
      </c>
      <c r="B14" s="56" t="s">
        <v>13</v>
      </c>
      <c r="C14" s="64">
        <v>333.52</v>
      </c>
      <c r="D14" s="64">
        <v>2002.46</v>
      </c>
      <c r="E14" s="64"/>
      <c r="F14" s="64"/>
      <c r="G14" s="64"/>
      <c r="H14" s="64">
        <v>1134.02</v>
      </c>
      <c r="I14" s="66">
        <f t="shared" si="0"/>
        <v>3470</v>
      </c>
    </row>
    <row r="15" spans="1:9" ht="15.75">
      <c r="A15" s="55">
        <v>10</v>
      </c>
      <c r="B15" s="56" t="s">
        <v>14</v>
      </c>
      <c r="C15" s="64">
        <v>916.32</v>
      </c>
      <c r="D15" s="64">
        <v>1406.54</v>
      </c>
      <c r="E15" s="64"/>
      <c r="F15" s="64"/>
      <c r="G15" s="64"/>
      <c r="H15" s="64">
        <v>6790.85</v>
      </c>
      <c r="I15" s="66">
        <f t="shared" si="0"/>
        <v>9113.710000000001</v>
      </c>
    </row>
    <row r="16" spans="1:9" ht="15.75">
      <c r="A16" s="55">
        <v>11</v>
      </c>
      <c r="B16" s="56" t="s">
        <v>15</v>
      </c>
      <c r="C16" s="64"/>
      <c r="D16" s="64">
        <v>709.3</v>
      </c>
      <c r="E16" s="64"/>
      <c r="F16" s="64"/>
      <c r="G16" s="64"/>
      <c r="H16" s="64">
        <v>1536.41</v>
      </c>
      <c r="I16" s="66">
        <f t="shared" si="0"/>
        <v>2245.71</v>
      </c>
    </row>
    <row r="17" spans="1:9" ht="15.75">
      <c r="A17" s="55">
        <v>12</v>
      </c>
      <c r="B17" s="56" t="s">
        <v>16</v>
      </c>
      <c r="C17" s="64">
        <v>667.04</v>
      </c>
      <c r="D17" s="64"/>
      <c r="E17" s="64"/>
      <c r="F17" s="64"/>
      <c r="G17" s="64"/>
      <c r="H17" s="64">
        <v>1421.91</v>
      </c>
      <c r="I17" s="66">
        <f t="shared" si="0"/>
        <v>2088.95</v>
      </c>
    </row>
    <row r="18" spans="1:9" ht="15.75">
      <c r="A18" s="55">
        <v>13</v>
      </c>
      <c r="B18" s="56" t="s">
        <v>17</v>
      </c>
      <c r="C18" s="64">
        <v>667.04</v>
      </c>
      <c r="D18" s="64">
        <v>808.22</v>
      </c>
      <c r="E18" s="64">
        <v>984.38</v>
      </c>
      <c r="F18" s="64"/>
      <c r="G18" s="64"/>
      <c r="H18" s="64">
        <v>3287.03</v>
      </c>
      <c r="I18" s="66">
        <f t="shared" si="0"/>
        <v>5746.67</v>
      </c>
    </row>
    <row r="19" spans="1:9" ht="15.75">
      <c r="A19" s="55">
        <v>14</v>
      </c>
      <c r="B19" s="56" t="s">
        <v>18</v>
      </c>
      <c r="C19" s="64"/>
      <c r="D19" s="64">
        <v>692.76</v>
      </c>
      <c r="E19" s="64"/>
      <c r="F19" s="64"/>
      <c r="G19" s="64"/>
      <c r="H19" s="64">
        <v>442.98</v>
      </c>
      <c r="I19" s="66">
        <f t="shared" si="0"/>
        <v>1135.74</v>
      </c>
    </row>
    <row r="20" spans="1:9" ht="15.75">
      <c r="A20" s="55">
        <v>15</v>
      </c>
      <c r="B20" s="56" t="s">
        <v>19</v>
      </c>
      <c r="C20" s="64"/>
      <c r="D20" s="64"/>
      <c r="E20" s="64"/>
      <c r="F20" s="64"/>
      <c r="G20" s="64"/>
      <c r="H20" s="64">
        <v>80.18</v>
      </c>
      <c r="I20" s="66">
        <f t="shared" si="0"/>
        <v>80.18</v>
      </c>
    </row>
    <row r="21" spans="1:9" ht="15.75">
      <c r="A21" s="55">
        <v>16</v>
      </c>
      <c r="B21" s="56" t="s">
        <v>20</v>
      </c>
      <c r="C21" s="64">
        <v>333.52</v>
      </c>
      <c r="D21" s="64">
        <v>646.58</v>
      </c>
      <c r="E21" s="64"/>
      <c r="F21" s="64"/>
      <c r="G21" s="64"/>
      <c r="H21" s="64">
        <v>753.46</v>
      </c>
      <c r="I21" s="66">
        <f t="shared" si="0"/>
        <v>1733.56</v>
      </c>
    </row>
    <row r="22" spans="1:9" ht="15.75">
      <c r="A22" s="55">
        <v>17</v>
      </c>
      <c r="B22" s="56" t="s">
        <v>21</v>
      </c>
      <c r="C22" s="64">
        <v>1334.05</v>
      </c>
      <c r="D22" s="64">
        <v>692.76</v>
      </c>
      <c r="E22" s="64">
        <v>492.19</v>
      </c>
      <c r="F22" s="64"/>
      <c r="G22" s="64">
        <v>2004.13</v>
      </c>
      <c r="H22" s="64">
        <v>4223.66</v>
      </c>
      <c r="I22" s="66">
        <f t="shared" si="0"/>
        <v>8746.79</v>
      </c>
    </row>
    <row r="23" spans="1:9" ht="15.75">
      <c r="A23" s="55">
        <v>18</v>
      </c>
      <c r="B23" s="56" t="s">
        <v>22</v>
      </c>
      <c r="C23" s="64"/>
      <c r="D23" s="64"/>
      <c r="E23" s="64"/>
      <c r="F23" s="64"/>
      <c r="G23" s="64"/>
      <c r="H23" s="64"/>
      <c r="I23" s="66">
        <f t="shared" si="0"/>
        <v>0</v>
      </c>
    </row>
    <row r="24" spans="1:9" ht="15.75">
      <c r="A24" s="55">
        <v>19</v>
      </c>
      <c r="B24" s="56" t="s">
        <v>23</v>
      </c>
      <c r="C24" s="79"/>
      <c r="D24" s="79"/>
      <c r="E24" s="79"/>
      <c r="F24" s="79"/>
      <c r="G24" s="79"/>
      <c r="H24" s="79">
        <v>988.74</v>
      </c>
      <c r="I24" s="66">
        <f t="shared" si="0"/>
        <v>988.74</v>
      </c>
    </row>
    <row r="25" spans="1:9" ht="15.75">
      <c r="A25" s="55">
        <v>20</v>
      </c>
      <c r="B25" s="56" t="s">
        <v>24</v>
      </c>
      <c r="C25" s="64">
        <v>333.51</v>
      </c>
      <c r="D25" s="64">
        <v>1001.21</v>
      </c>
      <c r="E25" s="64"/>
      <c r="F25" s="64"/>
      <c r="G25" s="64"/>
      <c r="H25" s="64">
        <v>3233.4</v>
      </c>
      <c r="I25" s="66">
        <f t="shared" si="0"/>
        <v>4568.12</v>
      </c>
    </row>
    <row r="26" spans="1:9" ht="15.75">
      <c r="A26" s="55">
        <v>21</v>
      </c>
      <c r="B26" s="56" t="s">
        <v>25</v>
      </c>
      <c r="C26" s="64"/>
      <c r="D26" s="64"/>
      <c r="E26" s="64"/>
      <c r="F26" s="64"/>
      <c r="G26" s="64"/>
      <c r="H26" s="64">
        <v>534.59</v>
      </c>
      <c r="I26" s="66">
        <f t="shared" si="0"/>
        <v>534.59</v>
      </c>
    </row>
    <row r="27" spans="1:9" ht="15.75">
      <c r="A27" s="55">
        <v>22</v>
      </c>
      <c r="B27" s="56" t="s">
        <v>26</v>
      </c>
      <c r="C27" s="64">
        <v>333.52</v>
      </c>
      <c r="D27" s="64"/>
      <c r="E27" s="64"/>
      <c r="F27" s="64"/>
      <c r="G27" s="64"/>
      <c r="H27" s="64">
        <v>492.55</v>
      </c>
      <c r="I27" s="66">
        <f t="shared" si="0"/>
        <v>826.0699999999999</v>
      </c>
    </row>
    <row r="28" spans="1:9" ht="15.75">
      <c r="A28" s="55">
        <v>23</v>
      </c>
      <c r="B28" s="56" t="s">
        <v>27</v>
      </c>
      <c r="C28" s="64"/>
      <c r="D28" s="64"/>
      <c r="E28" s="64"/>
      <c r="F28" s="64"/>
      <c r="G28" s="64"/>
      <c r="H28" s="64">
        <v>734.8</v>
      </c>
      <c r="I28" s="66">
        <f t="shared" si="0"/>
        <v>734.8</v>
      </c>
    </row>
    <row r="29" spans="1:9" ht="15.75">
      <c r="A29" s="55">
        <v>24</v>
      </c>
      <c r="B29" s="56" t="s">
        <v>28</v>
      </c>
      <c r="C29" s="64">
        <v>2334.64</v>
      </c>
      <c r="D29" s="64">
        <v>2115.84</v>
      </c>
      <c r="E29" s="64">
        <v>459.38</v>
      </c>
      <c r="F29" s="64">
        <v>9265.86</v>
      </c>
      <c r="G29" s="64"/>
      <c r="H29" s="64">
        <v>2515.75</v>
      </c>
      <c r="I29" s="66">
        <f t="shared" si="0"/>
        <v>16691.47</v>
      </c>
    </row>
    <row r="30" spans="1:9" ht="15.75">
      <c r="A30" s="55">
        <v>25</v>
      </c>
      <c r="B30" s="56" t="s">
        <v>29</v>
      </c>
      <c r="C30" s="64">
        <v>333.52</v>
      </c>
      <c r="D30" s="64">
        <v>3066.41</v>
      </c>
      <c r="E30" s="64"/>
      <c r="F30" s="64"/>
      <c r="G30" s="64"/>
      <c r="H30" s="64">
        <v>4195.25</v>
      </c>
      <c r="I30" s="66">
        <f t="shared" si="0"/>
        <v>7595.18</v>
      </c>
    </row>
    <row r="31" spans="1:9" ht="15.75">
      <c r="A31" s="55">
        <v>26</v>
      </c>
      <c r="B31" s="56" t="s">
        <v>39</v>
      </c>
      <c r="C31" s="64"/>
      <c r="D31" s="64"/>
      <c r="E31" s="64"/>
      <c r="F31" s="64"/>
      <c r="G31" s="64"/>
      <c r="H31" s="64"/>
      <c r="I31" s="66">
        <f t="shared" si="0"/>
        <v>0</v>
      </c>
    </row>
    <row r="32" spans="1:9" ht="15.75">
      <c r="A32" s="55">
        <v>27</v>
      </c>
      <c r="B32" s="56" t="s">
        <v>40</v>
      </c>
      <c r="C32" s="64">
        <v>667.04</v>
      </c>
      <c r="D32" s="64">
        <v>709.3</v>
      </c>
      <c r="E32" s="64"/>
      <c r="F32" s="64"/>
      <c r="G32" s="64"/>
      <c r="H32" s="64">
        <v>2248.85</v>
      </c>
      <c r="I32" s="66">
        <f t="shared" si="0"/>
        <v>3625.1899999999996</v>
      </c>
    </row>
    <row r="33" spans="1:9" ht="15.75">
      <c r="A33" s="55">
        <v>28</v>
      </c>
      <c r="B33" s="56" t="s">
        <v>41</v>
      </c>
      <c r="C33" s="64">
        <v>333.52</v>
      </c>
      <c r="D33" s="64"/>
      <c r="E33" s="64"/>
      <c r="F33" s="64"/>
      <c r="G33" s="64"/>
      <c r="H33" s="64">
        <v>2599.89</v>
      </c>
      <c r="I33" s="66">
        <f t="shared" si="0"/>
        <v>2933.41</v>
      </c>
    </row>
    <row r="34" spans="1:9" ht="15.75">
      <c r="A34" s="55">
        <v>29</v>
      </c>
      <c r="B34" s="56" t="s">
        <v>43</v>
      </c>
      <c r="C34" s="64">
        <v>333.52</v>
      </c>
      <c r="D34" s="64"/>
      <c r="E34" s="64"/>
      <c r="F34" s="64"/>
      <c r="G34" s="64"/>
      <c r="H34" s="64">
        <v>150.73</v>
      </c>
      <c r="I34" s="66">
        <f t="shared" si="0"/>
        <v>484.25</v>
      </c>
    </row>
    <row r="35" spans="1:9" ht="15.75">
      <c r="A35" s="55">
        <v>30</v>
      </c>
      <c r="B35" s="56" t="s">
        <v>45</v>
      </c>
      <c r="C35" s="64">
        <v>333.52</v>
      </c>
      <c r="D35" s="64"/>
      <c r="E35" s="64"/>
      <c r="F35" s="64"/>
      <c r="G35" s="64"/>
      <c r="H35" s="64"/>
      <c r="I35" s="66">
        <f t="shared" si="0"/>
        <v>333.52</v>
      </c>
    </row>
    <row r="36" spans="1:9" ht="15.75">
      <c r="A36" s="55">
        <v>31</v>
      </c>
      <c r="B36" s="56" t="s">
        <v>58</v>
      </c>
      <c r="C36" s="64">
        <v>333.52</v>
      </c>
      <c r="D36" s="64"/>
      <c r="E36" s="64"/>
      <c r="F36" s="64"/>
      <c r="G36" s="64"/>
      <c r="H36" s="64"/>
      <c r="I36" s="66">
        <f t="shared" si="0"/>
        <v>333.52</v>
      </c>
    </row>
    <row r="37" spans="1:9" ht="15.75">
      <c r="A37" s="55">
        <v>32</v>
      </c>
      <c r="B37" s="56" t="s">
        <v>59</v>
      </c>
      <c r="C37" s="64">
        <v>333.52</v>
      </c>
      <c r="D37" s="64"/>
      <c r="E37" s="64"/>
      <c r="F37" s="64"/>
      <c r="G37" s="64"/>
      <c r="H37" s="64">
        <v>322.55</v>
      </c>
      <c r="I37" s="66">
        <f t="shared" si="0"/>
        <v>656.0699999999999</v>
      </c>
    </row>
    <row r="38" spans="1:9" ht="15.75">
      <c r="A38" s="55">
        <v>33</v>
      </c>
      <c r="B38" s="56" t="s">
        <v>68</v>
      </c>
      <c r="C38" s="64"/>
      <c r="D38" s="64"/>
      <c r="E38" s="64"/>
      <c r="F38" s="64"/>
      <c r="G38" s="64"/>
      <c r="H38" s="64"/>
      <c r="I38" s="66">
        <f t="shared" si="0"/>
        <v>0</v>
      </c>
    </row>
    <row r="39" spans="1:9" ht="15.75">
      <c r="A39" s="57"/>
      <c r="B39" s="57" t="s">
        <v>30</v>
      </c>
      <c r="C39" s="65">
        <f aca="true" t="shared" si="1" ref="C39:H39">SUM(C6:C38)</f>
        <v>12589.480000000003</v>
      </c>
      <c r="D39" s="65">
        <f t="shared" si="1"/>
        <v>27377.1</v>
      </c>
      <c r="E39" s="65">
        <f t="shared" si="1"/>
        <v>5709.42</v>
      </c>
      <c r="F39" s="65">
        <f t="shared" si="1"/>
        <v>9265.86</v>
      </c>
      <c r="G39" s="65">
        <f t="shared" si="1"/>
        <v>2004.13</v>
      </c>
      <c r="H39" s="65">
        <f t="shared" si="1"/>
        <v>51474.47</v>
      </c>
      <c r="I39" s="66">
        <f t="shared" si="0"/>
        <v>108420.45999999999</v>
      </c>
    </row>
    <row r="40" ht="12.75">
      <c r="C40" s="75"/>
    </row>
    <row r="41" ht="12.75">
      <c r="C41" s="3"/>
    </row>
    <row r="42" ht="12.75">
      <c r="H42" s="3"/>
    </row>
  </sheetData>
  <printOptions/>
  <pageMargins left="0.75" right="0.75" top="1" bottom="1" header="0.5" footer="0.5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D6" sqref="D6:D38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89</v>
      </c>
      <c r="B3" s="61"/>
      <c r="C3" s="61"/>
      <c r="D3" s="61"/>
      <c r="E3" s="61"/>
      <c r="F3" s="61"/>
    </row>
    <row r="4" spans="1:6" ht="14.25">
      <c r="A4" s="87"/>
      <c r="B4" s="87"/>
      <c r="C4" s="87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64</v>
      </c>
      <c r="D5" s="51" t="s">
        <v>65</v>
      </c>
    </row>
    <row r="6" spans="1:4" ht="15.75">
      <c r="A6" s="55">
        <v>1</v>
      </c>
      <c r="B6" s="56" t="s">
        <v>6</v>
      </c>
      <c r="C6" s="64"/>
      <c r="D6" s="64"/>
    </row>
    <row r="7" spans="1:4" ht="15.75">
      <c r="A7" s="55">
        <v>2</v>
      </c>
      <c r="B7" s="56" t="s">
        <v>7</v>
      </c>
      <c r="C7" s="64"/>
      <c r="D7" s="64"/>
    </row>
    <row r="8" spans="1:4" ht="15.75">
      <c r="A8" s="55">
        <v>3</v>
      </c>
      <c r="B8" s="56" t="s">
        <v>8</v>
      </c>
      <c r="C8" s="64"/>
      <c r="D8" s="64"/>
    </row>
    <row r="9" spans="1:4" ht="15.75">
      <c r="A9" s="55">
        <v>4</v>
      </c>
      <c r="B9" s="56" t="s">
        <v>9</v>
      </c>
      <c r="C9" s="64"/>
      <c r="D9" s="64"/>
    </row>
    <row r="10" spans="1:4" ht="15.75">
      <c r="A10" s="55">
        <v>5</v>
      </c>
      <c r="B10" s="56" t="s">
        <v>10</v>
      </c>
      <c r="C10" s="64"/>
      <c r="D10" s="64"/>
    </row>
    <row r="11" spans="1:4" ht="15.75">
      <c r="A11" s="55">
        <v>6</v>
      </c>
      <c r="B11" s="56" t="s">
        <v>11</v>
      </c>
      <c r="C11" s="64"/>
      <c r="D11" s="64"/>
    </row>
    <row r="12" spans="1:4" ht="15.75">
      <c r="A12" s="55">
        <v>7</v>
      </c>
      <c r="B12" s="56" t="s">
        <v>57</v>
      </c>
      <c r="C12" s="64"/>
      <c r="D12" s="64"/>
    </row>
    <row r="13" spans="1:4" ht="15.75">
      <c r="A13" s="55">
        <v>8</v>
      </c>
      <c r="B13" s="56" t="s">
        <v>12</v>
      </c>
      <c r="C13" s="64"/>
      <c r="D13" s="64"/>
    </row>
    <row r="14" spans="1:4" ht="15.75">
      <c r="A14" s="55">
        <v>9</v>
      </c>
      <c r="B14" s="56" t="s">
        <v>13</v>
      </c>
      <c r="C14" s="64">
        <v>2896.36</v>
      </c>
      <c r="D14" s="64"/>
    </row>
    <row r="15" spans="1:4" ht="15.75">
      <c r="A15" s="55">
        <v>10</v>
      </c>
      <c r="B15" s="56" t="s">
        <v>14</v>
      </c>
      <c r="C15" s="64"/>
      <c r="D15" s="64"/>
    </row>
    <row r="16" spans="1:4" ht="15.75">
      <c r="A16" s="55">
        <v>11</v>
      </c>
      <c r="B16" s="56" t="s">
        <v>15</v>
      </c>
      <c r="C16" s="64"/>
      <c r="D16" s="64"/>
    </row>
    <row r="17" spans="1:4" ht="15.75">
      <c r="A17" s="55">
        <v>12</v>
      </c>
      <c r="B17" s="56" t="s">
        <v>16</v>
      </c>
      <c r="C17" s="64"/>
      <c r="D17" s="64"/>
    </row>
    <row r="18" spans="1:4" ht="15.75">
      <c r="A18" s="55">
        <v>13</v>
      </c>
      <c r="B18" s="56" t="s">
        <v>17</v>
      </c>
      <c r="C18" s="64">
        <v>7265.12</v>
      </c>
      <c r="D18" s="64"/>
    </row>
    <row r="19" spans="1:4" ht="15.75">
      <c r="A19" s="55">
        <v>14</v>
      </c>
      <c r="B19" s="56" t="s">
        <v>18</v>
      </c>
      <c r="C19" s="64"/>
      <c r="D19" s="64"/>
    </row>
    <row r="20" spans="1:4" ht="15.75">
      <c r="A20" s="55">
        <v>15</v>
      </c>
      <c r="B20" s="56" t="s">
        <v>19</v>
      </c>
      <c r="C20" s="64"/>
      <c r="D20" s="64"/>
    </row>
    <row r="21" spans="1:4" ht="15.75">
      <c r="A21" s="55">
        <v>16</v>
      </c>
      <c r="B21" s="56" t="s">
        <v>20</v>
      </c>
      <c r="C21" s="64"/>
      <c r="D21" s="64"/>
    </row>
    <row r="22" spans="1:4" ht="15.75">
      <c r="A22" s="55">
        <v>17</v>
      </c>
      <c r="B22" s="56" t="s">
        <v>21</v>
      </c>
      <c r="C22" s="64"/>
      <c r="D22" s="64">
        <v>13458.58</v>
      </c>
    </row>
    <row r="23" spans="1:4" ht="15.75">
      <c r="A23" s="55">
        <v>18</v>
      </c>
      <c r="B23" s="56" t="s">
        <v>22</v>
      </c>
      <c r="C23" s="64"/>
      <c r="D23" s="64"/>
    </row>
    <row r="24" spans="1:4" ht="15.75">
      <c r="A24" s="55">
        <v>19</v>
      </c>
      <c r="B24" s="56" t="s">
        <v>23</v>
      </c>
      <c r="C24" s="64"/>
      <c r="D24" s="64"/>
    </row>
    <row r="25" spans="1:4" ht="15.75">
      <c r="A25" s="55">
        <v>20</v>
      </c>
      <c r="B25" s="56" t="s">
        <v>24</v>
      </c>
      <c r="C25" s="64">
        <v>318.78</v>
      </c>
      <c r="D25" s="64">
        <v>2766.45</v>
      </c>
    </row>
    <row r="26" spans="1:4" ht="15.75">
      <c r="A26" s="55">
        <v>21</v>
      </c>
      <c r="B26" s="56" t="s">
        <v>25</v>
      </c>
      <c r="C26" s="64"/>
      <c r="D26" s="64"/>
    </row>
    <row r="27" spans="1:4" ht="15.75">
      <c r="A27" s="55">
        <v>22</v>
      </c>
      <c r="B27" s="56" t="s">
        <v>26</v>
      </c>
      <c r="C27" s="64"/>
      <c r="D27" s="64"/>
    </row>
    <row r="28" spans="1:4" ht="15.75">
      <c r="A28" s="55">
        <v>23</v>
      </c>
      <c r="B28" s="56" t="s">
        <v>27</v>
      </c>
      <c r="C28" s="64"/>
      <c r="D28" s="64"/>
    </row>
    <row r="29" spans="1:4" ht="15.75">
      <c r="A29" s="55">
        <v>24</v>
      </c>
      <c r="B29" s="56" t="s">
        <v>28</v>
      </c>
      <c r="C29" s="64"/>
      <c r="D29" s="64"/>
    </row>
    <row r="30" spans="1:4" ht="15.75">
      <c r="A30" s="55">
        <v>25</v>
      </c>
      <c r="B30" s="56" t="s">
        <v>29</v>
      </c>
      <c r="C30" s="64"/>
      <c r="D30" s="64"/>
    </row>
    <row r="31" spans="1:4" ht="15.75">
      <c r="A31" s="55">
        <v>26</v>
      </c>
      <c r="B31" s="56" t="s">
        <v>39</v>
      </c>
      <c r="C31" s="64"/>
      <c r="D31" s="64"/>
    </row>
    <row r="32" spans="1:4" ht="15.75">
      <c r="A32" s="55">
        <v>27</v>
      </c>
      <c r="B32" s="56" t="s">
        <v>40</v>
      </c>
      <c r="C32" s="64"/>
      <c r="D32" s="64">
        <v>2736.1</v>
      </c>
    </row>
    <row r="33" spans="1:4" ht="15.75">
      <c r="A33" s="55">
        <v>28</v>
      </c>
      <c r="B33" s="56" t="s">
        <v>41</v>
      </c>
      <c r="C33" s="64"/>
      <c r="D33" s="64"/>
    </row>
    <row r="34" spans="1:4" ht="15.75">
      <c r="A34" s="55">
        <v>29</v>
      </c>
      <c r="B34" s="56" t="s">
        <v>43</v>
      </c>
      <c r="C34" s="64"/>
      <c r="D34" s="64"/>
    </row>
    <row r="35" spans="1:4" ht="15.75">
      <c r="A35" s="55">
        <v>30</v>
      </c>
      <c r="B35" s="56" t="s">
        <v>45</v>
      </c>
      <c r="C35" s="64"/>
      <c r="D35" s="64"/>
    </row>
    <row r="36" spans="1:4" ht="15.75">
      <c r="A36" s="55">
        <v>31</v>
      </c>
      <c r="B36" s="56" t="s">
        <v>58</v>
      </c>
      <c r="C36" s="64"/>
      <c r="D36" s="64"/>
    </row>
    <row r="37" spans="1:4" ht="15.75">
      <c r="A37" s="55">
        <v>32</v>
      </c>
      <c r="B37" s="56" t="s">
        <v>59</v>
      </c>
      <c r="C37" s="64"/>
      <c r="D37" s="64"/>
    </row>
    <row r="38" spans="1:4" ht="15.75">
      <c r="A38" s="55">
        <v>33</v>
      </c>
      <c r="B38" s="56" t="s">
        <v>68</v>
      </c>
      <c r="C38" s="64"/>
      <c r="D38" s="64"/>
    </row>
    <row r="39" spans="1:4" ht="15.75">
      <c r="A39" s="57"/>
      <c r="B39" s="57" t="s">
        <v>30</v>
      </c>
      <c r="C39" s="65">
        <f>SUM(C6:C38)</f>
        <v>10480.26</v>
      </c>
      <c r="D39" s="65">
        <f>SUM(D6:D38)</f>
        <v>18961.129999999997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view="pageBreakPreview" zoomScale="60" workbookViewId="0" topLeftCell="A1">
      <selection activeCell="C7" sqref="C7:C39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1" t="s">
        <v>77</v>
      </c>
      <c r="B3" s="81"/>
      <c r="C3" s="81"/>
      <c r="D3" s="81"/>
      <c r="E3" s="81"/>
      <c r="F3" s="81"/>
      <c r="G3" s="82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73" t="s">
        <v>0</v>
      </c>
      <c r="B6" s="74" t="s">
        <v>1</v>
      </c>
      <c r="C6" s="46" t="s">
        <v>31</v>
      </c>
      <c r="D6" s="46" t="s">
        <v>32</v>
      </c>
      <c r="E6" s="47" t="s">
        <v>33</v>
      </c>
      <c r="F6" s="36"/>
    </row>
    <row r="7" spans="1:9" ht="15.75">
      <c r="A7" s="71">
        <v>1</v>
      </c>
      <c r="B7" s="72" t="s">
        <v>6</v>
      </c>
      <c r="C7" s="44">
        <v>6639.53</v>
      </c>
      <c r="D7" s="44">
        <v>5313.3</v>
      </c>
      <c r="E7" s="45">
        <f>C7+D7</f>
        <v>11952.83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3655.65</v>
      </c>
      <c r="D8" s="6">
        <v>2924.66</v>
      </c>
      <c r="E8" s="45">
        <f aca="true" t="shared" si="0" ref="E8:E40">C8+D8</f>
        <v>6580.3099999999995</v>
      </c>
      <c r="F8" s="36"/>
      <c r="H8" s="3"/>
    </row>
    <row r="9" spans="1:8" ht="15.75">
      <c r="A9" s="55">
        <v>3</v>
      </c>
      <c r="B9" s="56" t="s">
        <v>8</v>
      </c>
      <c r="C9" s="1">
        <v>3683.96</v>
      </c>
      <c r="D9" s="6">
        <v>2947.19</v>
      </c>
      <c r="E9" s="45">
        <f t="shared" si="0"/>
        <v>6631.15</v>
      </c>
      <c r="F9" s="36"/>
      <c r="H9" s="3"/>
    </row>
    <row r="10" spans="1:8" ht="15.75">
      <c r="A10" s="55">
        <v>4</v>
      </c>
      <c r="B10" s="56" t="s">
        <v>9</v>
      </c>
      <c r="C10" s="6">
        <v>5504.74</v>
      </c>
      <c r="D10" s="6">
        <v>4403.69</v>
      </c>
      <c r="E10" s="45">
        <f t="shared" si="0"/>
        <v>9908.43</v>
      </c>
      <c r="F10" s="36"/>
      <c r="H10" s="3"/>
    </row>
    <row r="11" spans="1:8" ht="15.75">
      <c r="A11" s="55">
        <v>5</v>
      </c>
      <c r="B11" s="56" t="s">
        <v>10</v>
      </c>
      <c r="C11" s="6">
        <v>3001</v>
      </c>
      <c r="D11" s="6">
        <v>2400.84</v>
      </c>
      <c r="E11" s="45">
        <f t="shared" si="0"/>
        <v>5401.84</v>
      </c>
      <c r="F11" s="36"/>
      <c r="H11" s="3"/>
    </row>
    <row r="12" spans="1:8" ht="15.75">
      <c r="A12" s="55">
        <v>6</v>
      </c>
      <c r="B12" s="56" t="s">
        <v>11</v>
      </c>
      <c r="C12" s="6">
        <v>5552.19</v>
      </c>
      <c r="D12" s="6">
        <v>4441.98</v>
      </c>
      <c r="E12" s="45">
        <f t="shared" si="0"/>
        <v>9994.169999999998</v>
      </c>
      <c r="F12" s="36"/>
      <c r="H12" s="3"/>
    </row>
    <row r="13" spans="1:8" ht="15.75">
      <c r="A13" s="55">
        <v>7</v>
      </c>
      <c r="B13" s="56" t="s">
        <v>57</v>
      </c>
      <c r="C13" s="6">
        <v>10298.94</v>
      </c>
      <c r="D13" s="6">
        <v>8239.84</v>
      </c>
      <c r="E13" s="45">
        <f t="shared" si="0"/>
        <v>18538.78</v>
      </c>
      <c r="F13" s="36"/>
      <c r="H13" s="3"/>
    </row>
    <row r="14" spans="1:8" ht="15.75">
      <c r="A14" s="55">
        <v>8</v>
      </c>
      <c r="B14" s="56" t="s">
        <v>12</v>
      </c>
      <c r="C14" s="6">
        <v>877.8</v>
      </c>
      <c r="D14" s="6">
        <v>702.3</v>
      </c>
      <c r="E14" s="45">
        <f t="shared" si="0"/>
        <v>1580.1</v>
      </c>
      <c r="F14" s="36"/>
      <c r="H14" s="3"/>
    </row>
    <row r="15" spans="1:8" ht="15.75">
      <c r="A15" s="55">
        <v>9</v>
      </c>
      <c r="B15" s="56" t="s">
        <v>13</v>
      </c>
      <c r="C15" s="6">
        <v>3081.05</v>
      </c>
      <c r="D15" s="6">
        <v>2464.85</v>
      </c>
      <c r="E15" s="45">
        <f t="shared" si="0"/>
        <v>5545.9</v>
      </c>
      <c r="F15" s="36"/>
      <c r="H15" s="3"/>
    </row>
    <row r="16" spans="1:8" ht="15.75">
      <c r="A16" s="55">
        <v>10</v>
      </c>
      <c r="B16" s="56" t="s">
        <v>14</v>
      </c>
      <c r="C16" s="6">
        <v>9651.08</v>
      </c>
      <c r="D16" s="6">
        <v>7721.4</v>
      </c>
      <c r="E16" s="45">
        <f t="shared" si="0"/>
        <v>17372.48</v>
      </c>
      <c r="F16" s="36"/>
      <c r="H16" s="3"/>
    </row>
    <row r="17" spans="1:8" ht="15.75">
      <c r="A17" s="55">
        <v>11</v>
      </c>
      <c r="B17" s="56" t="s">
        <v>15</v>
      </c>
      <c r="C17" s="6">
        <v>4196.53</v>
      </c>
      <c r="D17" s="6">
        <v>3357.34</v>
      </c>
      <c r="E17" s="45">
        <f t="shared" si="0"/>
        <v>7553.87</v>
      </c>
      <c r="F17" s="36"/>
      <c r="H17" s="3"/>
    </row>
    <row r="18" spans="1:8" ht="15.75">
      <c r="A18" s="55">
        <v>12</v>
      </c>
      <c r="B18" s="56" t="s">
        <v>16</v>
      </c>
      <c r="C18" s="6">
        <v>972.05</v>
      </c>
      <c r="D18" s="6">
        <v>777.72</v>
      </c>
      <c r="E18" s="45">
        <f t="shared" si="0"/>
        <v>1749.77</v>
      </c>
      <c r="F18" s="36"/>
      <c r="H18" s="3"/>
    </row>
    <row r="19" spans="1:8" ht="15.75">
      <c r="A19" s="55">
        <v>13</v>
      </c>
      <c r="B19" s="56" t="s">
        <v>17</v>
      </c>
      <c r="C19" s="6">
        <v>4623.23</v>
      </c>
      <c r="D19" s="6">
        <v>3699</v>
      </c>
      <c r="E19" s="45">
        <f t="shared" si="0"/>
        <v>8322.23</v>
      </c>
      <c r="F19" s="36"/>
      <c r="H19" s="3"/>
    </row>
    <row r="20" spans="1:8" ht="15.75">
      <c r="A20" s="55">
        <v>14</v>
      </c>
      <c r="B20" s="56" t="s">
        <v>18</v>
      </c>
      <c r="C20" s="6">
        <v>3894.42</v>
      </c>
      <c r="D20" s="6">
        <v>3115.43</v>
      </c>
      <c r="E20" s="45">
        <f t="shared" si="0"/>
        <v>7009.85</v>
      </c>
      <c r="F20" s="36"/>
      <c r="H20" s="3"/>
    </row>
    <row r="21" spans="1:8" ht="15.75">
      <c r="A21" s="55">
        <v>15</v>
      </c>
      <c r="B21" s="56" t="s">
        <v>19</v>
      </c>
      <c r="C21" s="6">
        <v>947.45</v>
      </c>
      <c r="D21" s="6">
        <v>758.02</v>
      </c>
      <c r="E21" s="45">
        <f t="shared" si="0"/>
        <v>1705.47</v>
      </c>
      <c r="F21" s="36"/>
      <c r="H21" s="3"/>
    </row>
    <row r="22" spans="1:8" ht="15.75">
      <c r="A22" s="55">
        <v>16</v>
      </c>
      <c r="B22" s="56" t="s">
        <v>20</v>
      </c>
      <c r="C22" s="6">
        <v>2551.21</v>
      </c>
      <c r="D22" s="6">
        <v>2040.9</v>
      </c>
      <c r="E22" s="45">
        <f t="shared" si="0"/>
        <v>4592.110000000001</v>
      </c>
      <c r="F22" s="36"/>
      <c r="H22" s="3"/>
    </row>
    <row r="23" spans="1:8" ht="15.75">
      <c r="A23" s="55">
        <v>17</v>
      </c>
      <c r="B23" s="56" t="s">
        <v>21</v>
      </c>
      <c r="C23" s="6">
        <v>4780.06</v>
      </c>
      <c r="D23" s="6">
        <v>3824.76</v>
      </c>
      <c r="E23" s="45">
        <f t="shared" si="0"/>
        <v>8604.82</v>
      </c>
      <c r="F23" s="36"/>
      <c r="H23" s="3"/>
    </row>
    <row r="24" spans="1:8" ht="15.75">
      <c r="A24" s="55">
        <v>18</v>
      </c>
      <c r="B24" s="56" t="s">
        <v>22</v>
      </c>
      <c r="C24" s="6">
        <v>1012.56</v>
      </c>
      <c r="D24" s="6">
        <v>810.15</v>
      </c>
      <c r="E24" s="45">
        <f t="shared" si="0"/>
        <v>1822.71</v>
      </c>
      <c r="F24" s="36"/>
      <c r="H24" s="3"/>
    </row>
    <row r="25" spans="1:8" ht="15.75">
      <c r="A25" s="55">
        <v>19</v>
      </c>
      <c r="B25" s="56" t="s">
        <v>23</v>
      </c>
      <c r="C25" s="6">
        <v>6346.64</v>
      </c>
      <c r="D25" s="6">
        <v>5077.43</v>
      </c>
      <c r="E25" s="45">
        <f t="shared" si="0"/>
        <v>11424.07</v>
      </c>
      <c r="F25" s="36"/>
      <c r="H25" s="3"/>
    </row>
    <row r="26" spans="1:8" ht="15.75">
      <c r="A26" s="55">
        <v>20</v>
      </c>
      <c r="B26" s="56" t="s">
        <v>24</v>
      </c>
      <c r="C26" s="6">
        <v>4000.49</v>
      </c>
      <c r="D26" s="6">
        <v>3201.36</v>
      </c>
      <c r="E26" s="45">
        <f t="shared" si="0"/>
        <v>7201.85</v>
      </c>
      <c r="F26" s="36"/>
      <c r="H26" s="3"/>
    </row>
    <row r="27" spans="1:8" ht="15.75">
      <c r="A27" s="55">
        <v>21</v>
      </c>
      <c r="B27" s="56" t="s">
        <v>25</v>
      </c>
      <c r="C27" s="6">
        <v>295.45</v>
      </c>
      <c r="D27" s="6">
        <v>236.35</v>
      </c>
      <c r="E27" s="45">
        <f t="shared" si="0"/>
        <v>531.8</v>
      </c>
      <c r="F27" s="36"/>
      <c r="H27" s="3"/>
    </row>
    <row r="28" spans="1:8" ht="15.75">
      <c r="A28" s="55">
        <v>22</v>
      </c>
      <c r="B28" s="56" t="s">
        <v>26</v>
      </c>
      <c r="C28" s="6">
        <v>1636.98</v>
      </c>
      <c r="D28" s="6">
        <v>1309.65</v>
      </c>
      <c r="E28" s="45">
        <f t="shared" si="0"/>
        <v>2946.63</v>
      </c>
      <c r="F28" s="36"/>
      <c r="H28" s="3"/>
    </row>
    <row r="29" spans="1:8" ht="15.75">
      <c r="A29" s="55">
        <v>23</v>
      </c>
      <c r="B29" s="56" t="s">
        <v>27</v>
      </c>
      <c r="C29" s="6">
        <v>2619.88</v>
      </c>
      <c r="D29" s="6">
        <v>2096.08</v>
      </c>
      <c r="E29" s="45">
        <f t="shared" si="0"/>
        <v>4715.96</v>
      </c>
      <c r="F29" s="36"/>
      <c r="H29" s="3"/>
    </row>
    <row r="30" spans="1:8" ht="15.75">
      <c r="A30" s="55">
        <v>24</v>
      </c>
      <c r="B30" s="56" t="s">
        <v>28</v>
      </c>
      <c r="C30" s="6">
        <v>8365.96</v>
      </c>
      <c r="D30" s="6">
        <v>6692.94</v>
      </c>
      <c r="E30" s="45">
        <f t="shared" si="0"/>
        <v>15058.899999999998</v>
      </c>
      <c r="F30" s="36"/>
      <c r="H30" s="3"/>
    </row>
    <row r="31" spans="1:8" ht="15.75">
      <c r="A31" s="55">
        <v>25</v>
      </c>
      <c r="B31" s="56" t="s">
        <v>29</v>
      </c>
      <c r="C31" s="6">
        <v>9614.56</v>
      </c>
      <c r="D31" s="6">
        <v>7692.06</v>
      </c>
      <c r="E31" s="45">
        <f t="shared" si="0"/>
        <v>17306.62</v>
      </c>
      <c r="F31" s="36"/>
      <c r="H31" s="3"/>
    </row>
    <row r="32" spans="1:8" ht="15.75">
      <c r="A32" s="55">
        <v>26</v>
      </c>
      <c r="B32" s="56" t="s">
        <v>39</v>
      </c>
      <c r="C32" s="6">
        <v>725.15</v>
      </c>
      <c r="D32" s="6">
        <v>580.15</v>
      </c>
      <c r="E32" s="45">
        <f t="shared" si="0"/>
        <v>1305.3</v>
      </c>
      <c r="F32" s="36"/>
      <c r="H32" s="3"/>
    </row>
    <row r="33" spans="1:8" ht="15.75">
      <c r="A33" s="55">
        <v>27</v>
      </c>
      <c r="B33" s="56" t="s">
        <v>40</v>
      </c>
      <c r="C33" s="6">
        <v>5812.55</v>
      </c>
      <c r="D33" s="6">
        <v>4650.48</v>
      </c>
      <c r="E33" s="45">
        <f t="shared" si="0"/>
        <v>10463.029999999999</v>
      </c>
      <c r="F33" s="36"/>
      <c r="H33" s="3"/>
    </row>
    <row r="34" spans="1:8" ht="15.75">
      <c r="A34" s="55">
        <v>28</v>
      </c>
      <c r="B34" s="56" t="s">
        <v>41</v>
      </c>
      <c r="C34" s="6">
        <v>5072.13</v>
      </c>
      <c r="D34" s="6">
        <v>4057.76</v>
      </c>
      <c r="E34" s="45">
        <f t="shared" si="0"/>
        <v>9129.89</v>
      </c>
      <c r="F34" s="36"/>
      <c r="H34" s="3"/>
    </row>
    <row r="35" spans="1:8" ht="15.75">
      <c r="A35" s="55">
        <v>29</v>
      </c>
      <c r="B35" s="56" t="s">
        <v>43</v>
      </c>
      <c r="C35" s="6">
        <v>2609.39</v>
      </c>
      <c r="D35" s="6">
        <v>2087.57</v>
      </c>
      <c r="E35" s="45">
        <f t="shared" si="0"/>
        <v>4696.96</v>
      </c>
      <c r="F35" s="36"/>
      <c r="H35" s="3"/>
    </row>
    <row r="36" spans="1:8" ht="15.75">
      <c r="A36" s="55">
        <v>30</v>
      </c>
      <c r="B36" s="56" t="s">
        <v>45</v>
      </c>
      <c r="C36" s="6">
        <v>2502.1</v>
      </c>
      <c r="D36" s="6">
        <v>2001.78</v>
      </c>
      <c r="E36" s="45">
        <f t="shared" si="0"/>
        <v>4503.88</v>
      </c>
      <c r="F36" s="36"/>
      <c r="H36" s="3"/>
    </row>
    <row r="37" spans="1:8" ht="15.75">
      <c r="A37" s="55">
        <v>31</v>
      </c>
      <c r="B37" s="56" t="s">
        <v>58</v>
      </c>
      <c r="C37" s="6">
        <v>287.92</v>
      </c>
      <c r="D37" s="6">
        <v>230.37</v>
      </c>
      <c r="E37" s="45">
        <f t="shared" si="0"/>
        <v>518.29</v>
      </c>
      <c r="F37" s="36"/>
      <c r="H37" s="3"/>
    </row>
    <row r="38" spans="1:8" ht="15.75">
      <c r="A38" s="55">
        <v>32</v>
      </c>
      <c r="B38" s="56" t="s">
        <v>59</v>
      </c>
      <c r="C38" s="6">
        <v>1279.58</v>
      </c>
      <c r="D38" s="6">
        <v>1023.71</v>
      </c>
      <c r="E38" s="45">
        <f t="shared" si="0"/>
        <v>2303.29</v>
      </c>
      <c r="F38" s="36"/>
      <c r="H38" s="3"/>
    </row>
    <row r="39" spans="1:8" ht="15.75">
      <c r="A39" s="55">
        <v>33</v>
      </c>
      <c r="B39" s="56" t="s">
        <v>68</v>
      </c>
      <c r="C39" s="6">
        <v>133.36</v>
      </c>
      <c r="D39" s="6">
        <v>106.68</v>
      </c>
      <c r="E39" s="45">
        <f t="shared" si="0"/>
        <v>240.04000000000002</v>
      </c>
      <c r="F39" s="36"/>
      <c r="H39" s="3"/>
    </row>
    <row r="40" spans="1:8" ht="15.75">
      <c r="A40" s="57"/>
      <c r="B40" s="57" t="s">
        <v>30</v>
      </c>
      <c r="C40" s="66">
        <f>SUM(C7:C39)</f>
        <v>126225.59000000001</v>
      </c>
      <c r="D40" s="66">
        <f>SUM(D7:D39)</f>
        <v>100987.73999999999</v>
      </c>
      <c r="E40" s="45">
        <f t="shared" si="0"/>
        <v>227213.33000000002</v>
      </c>
      <c r="F40" s="36"/>
      <c r="H40" s="3"/>
    </row>
    <row r="42" ht="12.75">
      <c r="D42" s="3"/>
    </row>
    <row r="43" spans="3:5" ht="12.75">
      <c r="C43" s="3"/>
      <c r="E43" s="3"/>
    </row>
    <row r="44" spans="4:5" ht="12.75">
      <c r="D44" s="3"/>
      <c r="E44" s="3"/>
    </row>
    <row r="50" ht="12.75">
      <c r="C50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view="pageBreakPreview" zoomScale="60" workbookViewId="0" topLeftCell="A2">
      <selection activeCell="A2" sqref="A2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3" t="s">
        <v>79</v>
      </c>
      <c r="C2" s="84"/>
      <c r="D2" s="84"/>
      <c r="E2" s="84"/>
      <c r="F2" s="84"/>
      <c r="G2" s="84"/>
      <c r="H2" s="84"/>
      <c r="I2" s="84"/>
      <c r="J2" s="84"/>
      <c r="K2" s="84"/>
    </row>
    <row r="3" spans="2:6" ht="15">
      <c r="B3" s="35"/>
      <c r="C3" s="35"/>
      <c r="D3" s="34"/>
      <c r="E3" s="34"/>
      <c r="F3" s="34"/>
    </row>
    <row r="4" spans="2:6" ht="14.25">
      <c r="B4" s="36"/>
      <c r="C4" s="37"/>
      <c r="D4" s="36"/>
      <c r="E4" s="38"/>
      <c r="F4" s="36"/>
    </row>
    <row r="5" spans="1:6" ht="60">
      <c r="A5" s="50" t="s">
        <v>0</v>
      </c>
      <c r="B5" s="51" t="s">
        <v>1</v>
      </c>
      <c r="C5" s="42" t="s">
        <v>31</v>
      </c>
      <c r="D5" s="42" t="s">
        <v>32</v>
      </c>
      <c r="E5" s="43" t="s">
        <v>75</v>
      </c>
      <c r="F5" s="36"/>
    </row>
    <row r="6" spans="1:6" ht="15.75">
      <c r="A6" s="80">
        <v>1</v>
      </c>
      <c r="B6" s="72" t="s">
        <v>6</v>
      </c>
      <c r="C6" s="44">
        <v>313.12</v>
      </c>
      <c r="D6" s="44">
        <v>250.51</v>
      </c>
      <c r="E6" s="45">
        <f>C6+D6</f>
        <v>563.63</v>
      </c>
      <c r="F6" s="36"/>
    </row>
    <row r="7" spans="1:6" ht="15.75">
      <c r="A7" s="79">
        <v>2</v>
      </c>
      <c r="B7" s="56" t="s">
        <v>7</v>
      </c>
      <c r="C7" s="6">
        <v>140.68</v>
      </c>
      <c r="D7" s="6">
        <v>112.54</v>
      </c>
      <c r="E7" s="45">
        <f aca="true" t="shared" si="0" ref="E7:E39">C7+D7</f>
        <v>253.22000000000003</v>
      </c>
      <c r="F7" s="36"/>
    </row>
    <row r="8" spans="1:6" ht="15.75">
      <c r="A8" s="79">
        <v>3</v>
      </c>
      <c r="B8" s="56" t="s">
        <v>8</v>
      </c>
      <c r="C8" s="1"/>
      <c r="D8" s="6"/>
      <c r="E8" s="45">
        <f t="shared" si="0"/>
        <v>0</v>
      </c>
      <c r="F8" s="36"/>
    </row>
    <row r="9" spans="1:6" ht="15.75">
      <c r="A9" s="79">
        <v>4</v>
      </c>
      <c r="B9" s="56" t="s">
        <v>9</v>
      </c>
      <c r="C9" s="6"/>
      <c r="D9" s="6"/>
      <c r="E9" s="45">
        <f t="shared" si="0"/>
        <v>0</v>
      </c>
      <c r="F9" s="36"/>
    </row>
    <row r="10" spans="1:6" ht="15.75">
      <c r="A10" s="79">
        <v>5</v>
      </c>
      <c r="B10" s="56" t="s">
        <v>10</v>
      </c>
      <c r="C10" s="6">
        <v>150.73</v>
      </c>
      <c r="D10" s="6">
        <v>120.58</v>
      </c>
      <c r="E10" s="45">
        <f t="shared" si="0"/>
        <v>271.31</v>
      </c>
      <c r="F10" s="36"/>
    </row>
    <row r="11" spans="1:6" ht="15.75">
      <c r="A11" s="79">
        <v>6</v>
      </c>
      <c r="B11" s="56" t="s">
        <v>11</v>
      </c>
      <c r="C11" s="6">
        <v>140.68</v>
      </c>
      <c r="D11" s="6">
        <v>112.54</v>
      </c>
      <c r="E11" s="45">
        <f t="shared" si="0"/>
        <v>253.22000000000003</v>
      </c>
      <c r="F11" s="36"/>
    </row>
    <row r="12" spans="1:6" ht="15.75">
      <c r="A12" s="79">
        <v>7</v>
      </c>
      <c r="B12" s="56" t="s">
        <v>57</v>
      </c>
      <c r="C12" s="6">
        <v>311.1</v>
      </c>
      <c r="D12" s="6">
        <v>248.87</v>
      </c>
      <c r="E12" s="45">
        <f t="shared" si="0"/>
        <v>559.97</v>
      </c>
      <c r="F12" s="36"/>
    </row>
    <row r="13" spans="1:6" ht="15.75">
      <c r="A13" s="79">
        <v>8</v>
      </c>
      <c r="B13" s="56" t="s">
        <v>12</v>
      </c>
      <c r="C13" s="6"/>
      <c r="D13" s="6"/>
      <c r="E13" s="45">
        <f t="shared" si="0"/>
        <v>0</v>
      </c>
      <c r="F13" s="36"/>
    </row>
    <row r="14" spans="1:6" ht="15.75">
      <c r="A14" s="79">
        <v>9</v>
      </c>
      <c r="B14" s="56" t="s">
        <v>13</v>
      </c>
      <c r="C14" s="6"/>
      <c r="D14" s="6"/>
      <c r="E14" s="45">
        <f t="shared" si="0"/>
        <v>0</v>
      </c>
      <c r="F14" s="36"/>
    </row>
    <row r="15" spans="1:6" ht="15.75">
      <c r="A15" s="79">
        <v>10</v>
      </c>
      <c r="B15" s="56" t="s">
        <v>14</v>
      </c>
      <c r="C15" s="6">
        <v>471.47</v>
      </c>
      <c r="D15" s="6">
        <v>377.16</v>
      </c>
      <c r="E15" s="45">
        <f t="shared" si="0"/>
        <v>848.6300000000001</v>
      </c>
      <c r="F15" s="36"/>
    </row>
    <row r="16" spans="1:6" ht="15.75">
      <c r="A16" s="79">
        <v>11</v>
      </c>
      <c r="B16" s="56" t="s">
        <v>15</v>
      </c>
      <c r="C16" s="6">
        <v>160.37</v>
      </c>
      <c r="D16" s="6">
        <v>128.29</v>
      </c>
      <c r="E16" s="45">
        <f t="shared" si="0"/>
        <v>288.65999999999997</v>
      </c>
      <c r="F16" s="36"/>
    </row>
    <row r="17" spans="1:6" ht="15.75">
      <c r="A17" s="79">
        <v>12</v>
      </c>
      <c r="B17" s="56" t="s">
        <v>16</v>
      </c>
      <c r="C17" s="6"/>
      <c r="D17" s="6"/>
      <c r="E17" s="45">
        <f t="shared" si="0"/>
        <v>0</v>
      </c>
      <c r="F17" s="36"/>
    </row>
    <row r="18" spans="1:6" ht="15.75">
      <c r="A18" s="79">
        <v>13</v>
      </c>
      <c r="B18" s="56" t="s">
        <v>17</v>
      </c>
      <c r="C18" s="6">
        <v>332.18</v>
      </c>
      <c r="D18" s="6">
        <v>265.76</v>
      </c>
      <c r="E18" s="45">
        <f t="shared" si="0"/>
        <v>597.94</v>
      </c>
      <c r="F18" s="36"/>
    </row>
    <row r="19" spans="1:6" ht="15.75">
      <c r="A19" s="79">
        <v>14</v>
      </c>
      <c r="B19" s="56" t="s">
        <v>18</v>
      </c>
      <c r="C19" s="6"/>
      <c r="D19" s="6"/>
      <c r="E19" s="45">
        <f t="shared" si="0"/>
        <v>0</v>
      </c>
      <c r="F19" s="36"/>
    </row>
    <row r="20" spans="1:6" ht="15.75">
      <c r="A20" s="79">
        <v>15</v>
      </c>
      <c r="B20" s="56" t="s">
        <v>19</v>
      </c>
      <c r="C20" s="6"/>
      <c r="D20" s="6"/>
      <c r="E20" s="45">
        <f t="shared" si="0"/>
        <v>0</v>
      </c>
      <c r="F20" s="36"/>
    </row>
    <row r="21" spans="1:6" ht="15.75">
      <c r="A21" s="79">
        <v>16</v>
      </c>
      <c r="B21" s="56" t="s">
        <v>20</v>
      </c>
      <c r="C21" s="6"/>
      <c r="D21" s="6"/>
      <c r="E21" s="45">
        <f t="shared" si="0"/>
        <v>0</v>
      </c>
      <c r="F21" s="36"/>
    </row>
    <row r="22" spans="1:6" ht="15.75">
      <c r="A22" s="79">
        <v>17</v>
      </c>
      <c r="B22" s="56" t="s">
        <v>21</v>
      </c>
      <c r="C22" s="6">
        <v>361.52</v>
      </c>
      <c r="D22" s="6">
        <v>289.22</v>
      </c>
      <c r="E22" s="45">
        <f t="shared" si="0"/>
        <v>650.74</v>
      </c>
      <c r="F22" s="36"/>
    </row>
    <row r="23" spans="1:6" ht="15.75">
      <c r="A23" s="79">
        <v>18</v>
      </c>
      <c r="B23" s="56" t="s">
        <v>22</v>
      </c>
      <c r="C23" s="6"/>
      <c r="D23" s="6"/>
      <c r="E23" s="45">
        <f t="shared" si="0"/>
        <v>0</v>
      </c>
      <c r="F23" s="36"/>
    </row>
    <row r="24" spans="1:6" ht="15.75">
      <c r="A24" s="79">
        <v>19</v>
      </c>
      <c r="B24" s="56" t="s">
        <v>23</v>
      </c>
      <c r="C24" s="6">
        <v>602.92</v>
      </c>
      <c r="D24" s="6">
        <v>482.32</v>
      </c>
      <c r="E24" s="45">
        <f t="shared" si="0"/>
        <v>1085.24</v>
      </c>
      <c r="F24" s="36"/>
    </row>
    <row r="25" spans="1:6" ht="15.75">
      <c r="A25" s="79">
        <v>20</v>
      </c>
      <c r="B25" s="56" t="s">
        <v>24</v>
      </c>
      <c r="C25" s="6"/>
      <c r="D25" s="6"/>
      <c r="E25" s="45">
        <f t="shared" si="0"/>
        <v>0</v>
      </c>
      <c r="F25" s="36"/>
    </row>
    <row r="26" spans="1:6" ht="15.75">
      <c r="A26" s="79">
        <v>21</v>
      </c>
      <c r="B26" s="56" t="s">
        <v>25</v>
      </c>
      <c r="C26" s="6"/>
      <c r="D26" s="6"/>
      <c r="E26" s="45">
        <f t="shared" si="0"/>
        <v>0</v>
      </c>
      <c r="F26" s="36"/>
    </row>
    <row r="27" spans="1:6" ht="15.75">
      <c r="A27" s="79">
        <v>22</v>
      </c>
      <c r="B27" s="56" t="s">
        <v>26</v>
      </c>
      <c r="C27" s="6"/>
      <c r="D27" s="6"/>
      <c r="E27" s="45">
        <f t="shared" si="0"/>
        <v>0</v>
      </c>
      <c r="F27" s="36"/>
    </row>
    <row r="28" spans="1:6" ht="15.75">
      <c r="A28" s="79">
        <v>23</v>
      </c>
      <c r="B28" s="56" t="s">
        <v>27</v>
      </c>
      <c r="C28" s="6"/>
      <c r="D28" s="6"/>
      <c r="E28" s="45">
        <f t="shared" si="0"/>
        <v>0</v>
      </c>
      <c r="F28" s="36"/>
    </row>
    <row r="29" spans="1:6" ht="15.75">
      <c r="A29" s="79">
        <v>24</v>
      </c>
      <c r="B29" s="56" t="s">
        <v>28</v>
      </c>
      <c r="C29" s="6">
        <v>433.35</v>
      </c>
      <c r="D29" s="6">
        <v>346.66</v>
      </c>
      <c r="E29" s="45">
        <f t="shared" si="0"/>
        <v>780.01</v>
      </c>
      <c r="F29" s="36"/>
    </row>
    <row r="30" spans="1:6" ht="15.75">
      <c r="A30" s="79">
        <v>25</v>
      </c>
      <c r="B30" s="56" t="s">
        <v>29</v>
      </c>
      <c r="C30" s="6">
        <v>792.21</v>
      </c>
      <c r="D30" s="6">
        <v>633.74</v>
      </c>
      <c r="E30" s="45">
        <f t="shared" si="0"/>
        <v>1425.95</v>
      </c>
      <c r="F30" s="36"/>
    </row>
    <row r="31" spans="1:6" ht="15.75">
      <c r="A31" s="79">
        <v>26</v>
      </c>
      <c r="B31" s="56" t="s">
        <v>39</v>
      </c>
      <c r="C31" s="6">
        <v>171.82</v>
      </c>
      <c r="D31" s="6">
        <v>137.46</v>
      </c>
      <c r="E31" s="45">
        <f t="shared" si="0"/>
        <v>309.28</v>
      </c>
      <c r="F31" s="36"/>
    </row>
    <row r="32" spans="1:6" ht="15.75">
      <c r="A32" s="79">
        <v>27</v>
      </c>
      <c r="B32" s="56" t="s">
        <v>40</v>
      </c>
      <c r="C32" s="6"/>
      <c r="D32" s="6"/>
      <c r="E32" s="45">
        <f t="shared" si="0"/>
        <v>0</v>
      </c>
      <c r="F32" s="36"/>
    </row>
    <row r="33" spans="1:6" ht="15.75">
      <c r="A33" s="79">
        <v>28</v>
      </c>
      <c r="B33" s="56" t="s">
        <v>41</v>
      </c>
      <c r="C33" s="6"/>
      <c r="D33" s="6"/>
      <c r="E33" s="45">
        <f t="shared" si="0"/>
        <v>0</v>
      </c>
      <c r="F33" s="36"/>
    </row>
    <row r="34" spans="1:6" ht="15.75">
      <c r="A34" s="79">
        <v>29</v>
      </c>
      <c r="B34" s="56" t="s">
        <v>43</v>
      </c>
      <c r="C34" s="6">
        <v>160.37</v>
      </c>
      <c r="D34" s="6">
        <v>128.29</v>
      </c>
      <c r="E34" s="45">
        <f t="shared" si="0"/>
        <v>288.65999999999997</v>
      </c>
      <c r="F34" s="36"/>
    </row>
    <row r="35" spans="1:6" ht="15.75">
      <c r="A35" s="79">
        <v>30</v>
      </c>
      <c r="B35" s="56" t="s">
        <v>45</v>
      </c>
      <c r="C35" s="6"/>
      <c r="D35" s="6"/>
      <c r="E35" s="45">
        <f t="shared" si="0"/>
        <v>0</v>
      </c>
      <c r="F35" s="36"/>
    </row>
    <row r="36" spans="1:6" ht="15.75">
      <c r="A36" s="79">
        <v>31</v>
      </c>
      <c r="B36" s="56" t="s">
        <v>58</v>
      </c>
      <c r="C36" s="6"/>
      <c r="D36" s="6"/>
      <c r="E36" s="45">
        <f t="shared" si="0"/>
        <v>0</v>
      </c>
      <c r="F36" s="36"/>
    </row>
    <row r="37" spans="1:6" ht="15.75">
      <c r="A37" s="79">
        <v>32</v>
      </c>
      <c r="B37" s="56" t="s">
        <v>59</v>
      </c>
      <c r="C37" s="6"/>
      <c r="D37" s="6"/>
      <c r="E37" s="45">
        <f t="shared" si="0"/>
        <v>0</v>
      </c>
      <c r="F37" s="36"/>
    </row>
    <row r="38" spans="1:6" ht="15.75">
      <c r="A38" s="79">
        <v>33</v>
      </c>
      <c r="B38" s="56" t="s">
        <v>68</v>
      </c>
      <c r="C38" s="6"/>
      <c r="D38" s="6"/>
      <c r="E38" s="45">
        <f t="shared" si="0"/>
        <v>0</v>
      </c>
      <c r="F38" s="36"/>
    </row>
    <row r="39" spans="1:6" ht="15.75">
      <c r="A39" s="79"/>
      <c r="B39" s="57" t="s">
        <v>30</v>
      </c>
      <c r="C39" s="66">
        <f>SUM(C6:C38)</f>
        <v>4542.5199999999995</v>
      </c>
      <c r="D39" s="66">
        <f>SUM(D6:D38)</f>
        <v>3633.9399999999996</v>
      </c>
      <c r="E39" s="45">
        <f t="shared" si="0"/>
        <v>8176.459999999999</v>
      </c>
      <c r="F39" s="36"/>
    </row>
    <row r="42" spans="3:5" ht="12.75">
      <c r="C42" s="3"/>
      <c r="D42" s="3"/>
      <c r="E42" s="3"/>
    </row>
    <row r="43" spans="4:5" ht="12.75">
      <c r="D43" s="3"/>
      <c r="E43" s="3"/>
    </row>
    <row r="44" ht="12.75">
      <c r="E44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B43" sqref="B43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5" width="13.140625" style="0" bestFit="1" customWidth="1"/>
  </cols>
  <sheetData>
    <row r="3" spans="1:7" ht="15">
      <c r="A3" s="85" t="s">
        <v>80</v>
      </c>
      <c r="B3" s="85"/>
      <c r="C3" s="85"/>
      <c r="D3" s="85"/>
      <c r="E3" s="85"/>
      <c r="F3" s="85"/>
      <c r="G3" s="85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34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67">
        <v>44852.2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67">
        <v>18984.43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67">
        <v>8773.71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67">
        <v>8084.23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67">
        <v>17616.06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67">
        <v>82405.42</v>
      </c>
      <c r="D11" s="1"/>
      <c r="E11" s="1"/>
      <c r="F11" s="36"/>
      <c r="G11" s="36"/>
    </row>
    <row r="12" spans="1:7" ht="15.75">
      <c r="A12" s="55">
        <v>7</v>
      </c>
      <c r="B12" s="56" t="s">
        <v>57</v>
      </c>
      <c r="C12" s="67">
        <v>35895.33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67">
        <v>82991.14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67">
        <v>17604.2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67">
        <v>47713.62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67">
        <v>22328.38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67">
        <v>3696.01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67">
        <v>26871.77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67">
        <v>1445.95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67">
        <v>2721.52</v>
      </c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67">
        <v>5544.28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67">
        <v>21132.89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67">
        <v>1582.18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67">
        <v>7291.38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67">
        <v>26259.19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67">
        <v>12071.53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67">
        <v>9170.93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67">
        <v>6370.59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67">
        <v>33047.64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67">
        <v>9293.3</v>
      </c>
      <c r="D30" s="1"/>
      <c r="E30" s="1"/>
      <c r="F30" s="36"/>
      <c r="G30" s="36"/>
    </row>
    <row r="31" spans="1:7" ht="15.75">
      <c r="A31" s="55">
        <v>26</v>
      </c>
      <c r="B31" s="56" t="s">
        <v>39</v>
      </c>
      <c r="C31" s="67">
        <v>1467.04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67">
        <v>13931.72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67">
        <v>19421.7</v>
      </c>
      <c r="D33" s="1"/>
      <c r="E33" s="1"/>
      <c r="F33" s="36"/>
      <c r="G33" s="36"/>
    </row>
    <row r="34" spans="1:7" ht="15.75">
      <c r="A34" s="55">
        <v>29</v>
      </c>
      <c r="B34" s="56" t="s">
        <v>43</v>
      </c>
      <c r="C34" s="67">
        <v>1723.86</v>
      </c>
      <c r="D34" s="1"/>
      <c r="E34" s="1"/>
      <c r="F34" s="36"/>
      <c r="G34" s="36"/>
    </row>
    <row r="35" spans="1:7" ht="15.75">
      <c r="A35" s="55">
        <v>30</v>
      </c>
      <c r="B35" s="56" t="s">
        <v>45</v>
      </c>
      <c r="C35" s="67">
        <v>1887.86</v>
      </c>
      <c r="D35" s="1"/>
      <c r="E35" s="1"/>
      <c r="F35" s="36"/>
      <c r="G35" s="36"/>
    </row>
    <row r="36" spans="1:7" ht="15.75">
      <c r="A36" s="55">
        <v>31</v>
      </c>
      <c r="B36" s="56" t="s">
        <v>58</v>
      </c>
      <c r="C36" s="67">
        <v>786.16</v>
      </c>
      <c r="D36" s="1"/>
      <c r="E36" s="1"/>
      <c r="F36" s="36"/>
      <c r="G36" s="36"/>
    </row>
    <row r="37" spans="1:7" ht="15.75">
      <c r="A37" s="55">
        <v>32</v>
      </c>
      <c r="B37" s="56" t="s">
        <v>59</v>
      </c>
      <c r="C37" s="67">
        <v>1951.5</v>
      </c>
      <c r="D37" s="1"/>
      <c r="E37" s="1"/>
      <c r="F37" s="36"/>
      <c r="G37" s="36"/>
    </row>
    <row r="38" spans="1:7" ht="15.75">
      <c r="A38" s="55">
        <v>33</v>
      </c>
      <c r="B38" s="56" t="s">
        <v>68</v>
      </c>
      <c r="C38" s="67">
        <v>586.76</v>
      </c>
      <c r="D38" s="1"/>
      <c r="E38" s="1"/>
      <c r="F38" s="36"/>
      <c r="G38" s="36"/>
    </row>
    <row r="39" spans="1:7" ht="15.75">
      <c r="A39" s="57"/>
      <c r="B39" s="57" t="s">
        <v>30</v>
      </c>
      <c r="C39" s="7">
        <f>SUM(C6:C38)</f>
        <v>595504.4800000002</v>
      </c>
      <c r="D39" s="1"/>
      <c r="E39" s="1"/>
      <c r="F39" s="36"/>
      <c r="G39" s="36"/>
    </row>
    <row r="40" spans="1:7" ht="14.25">
      <c r="A40" s="36"/>
      <c r="B40" s="36"/>
      <c r="C40" s="38"/>
      <c r="D40" s="1"/>
      <c r="E40" s="1"/>
      <c r="F40" s="36"/>
      <c r="G40" s="36"/>
    </row>
    <row r="41" spans="1:7" ht="14.25">
      <c r="A41" s="36"/>
      <c r="B41" s="36"/>
      <c r="C41" s="38"/>
      <c r="D41" s="1"/>
      <c r="E41" s="36"/>
      <c r="F41" s="36"/>
      <c r="G41" s="36"/>
    </row>
    <row r="42" spans="3:4" ht="12.75">
      <c r="C42" s="3"/>
      <c r="D42" s="3"/>
    </row>
    <row r="43" spans="2:4" ht="12.75">
      <c r="B43" s="3"/>
      <c r="C43" s="3"/>
      <c r="D43" s="5"/>
    </row>
    <row r="44" spans="3:4" ht="12.75">
      <c r="C44" s="3"/>
      <c r="D44" s="3"/>
    </row>
    <row r="45" spans="3:4" ht="12.75">
      <c r="C45" s="3"/>
      <c r="D45" s="3"/>
    </row>
    <row r="47" spans="3:4" ht="12.75">
      <c r="C47" s="3"/>
      <c r="D47" s="3"/>
    </row>
    <row r="48" ht="12.75">
      <c r="D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workbookViewId="0" topLeftCell="A1">
      <selection activeCell="A4" sqref="A4:H40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6" t="s">
        <v>81</v>
      </c>
      <c r="B4" s="86"/>
      <c r="C4" s="86"/>
      <c r="D4" s="86"/>
      <c r="E4" s="86"/>
      <c r="F4" s="86"/>
      <c r="G4" s="86"/>
      <c r="H4" s="86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62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15767.41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>
        <v>1911.68</v>
      </c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4">
        <v>934.42</v>
      </c>
    </row>
    <row r="10" spans="1:3" ht="15.75">
      <c r="A10" s="55">
        <v>4</v>
      </c>
      <c r="B10" s="56" t="s">
        <v>9</v>
      </c>
      <c r="C10" s="64"/>
    </row>
    <row r="11" spans="1:3" ht="15.75">
      <c r="A11" s="55">
        <v>5</v>
      </c>
      <c r="B11" s="56" t="s">
        <v>10</v>
      </c>
      <c r="C11" s="64">
        <v>1268.35</v>
      </c>
    </row>
    <row r="12" spans="1:3" ht="15.75">
      <c r="A12" s="55">
        <v>6</v>
      </c>
      <c r="B12" s="56" t="s">
        <v>11</v>
      </c>
      <c r="C12" s="64">
        <v>3105.38</v>
      </c>
    </row>
    <row r="13" spans="1:3" ht="15.75">
      <c r="A13" s="55">
        <v>7</v>
      </c>
      <c r="B13" s="56" t="s">
        <v>57</v>
      </c>
      <c r="C13" s="64">
        <v>1665.97</v>
      </c>
    </row>
    <row r="14" spans="1:3" ht="15.75">
      <c r="A14" s="55">
        <v>8</v>
      </c>
      <c r="B14" s="56" t="s">
        <v>12</v>
      </c>
      <c r="C14" s="64">
        <v>25055.12</v>
      </c>
    </row>
    <row r="15" spans="1:3" ht="15.75">
      <c r="A15" s="55">
        <v>9</v>
      </c>
      <c r="B15" s="56" t="s">
        <v>13</v>
      </c>
      <c r="C15" s="64">
        <v>3168.72</v>
      </c>
    </row>
    <row r="16" spans="1:3" ht="15.75">
      <c r="A16" s="55">
        <v>10</v>
      </c>
      <c r="B16" s="56" t="s">
        <v>14</v>
      </c>
      <c r="C16" s="64">
        <v>20765.17</v>
      </c>
    </row>
    <row r="17" spans="1:3" ht="15.75">
      <c r="A17" s="55">
        <v>11</v>
      </c>
      <c r="B17" s="56" t="s">
        <v>15</v>
      </c>
      <c r="C17" s="64">
        <v>2452.8</v>
      </c>
    </row>
    <row r="18" spans="1:3" ht="15.75">
      <c r="A18" s="55">
        <v>12</v>
      </c>
      <c r="B18" s="56" t="s">
        <v>16</v>
      </c>
      <c r="C18" s="64">
        <v>3050.06</v>
      </c>
    </row>
    <row r="19" spans="1:3" ht="15.75">
      <c r="A19" s="55">
        <v>13</v>
      </c>
      <c r="B19" s="56" t="s">
        <v>17</v>
      </c>
      <c r="C19" s="64">
        <v>6297.09</v>
      </c>
    </row>
    <row r="20" spans="1:3" ht="15.75">
      <c r="A20" s="55">
        <v>14</v>
      </c>
      <c r="B20" s="56" t="s">
        <v>18</v>
      </c>
      <c r="C20" s="64"/>
    </row>
    <row r="21" spans="1:3" ht="15.75">
      <c r="A21" s="55">
        <v>15</v>
      </c>
      <c r="B21" s="56" t="s">
        <v>19</v>
      </c>
      <c r="C21" s="64"/>
    </row>
    <row r="22" spans="1:3" ht="15.75">
      <c r="A22" s="55">
        <v>16</v>
      </c>
      <c r="B22" s="56" t="s">
        <v>20</v>
      </c>
      <c r="C22" s="64">
        <v>2945.5</v>
      </c>
    </row>
    <row r="23" spans="1:3" ht="15.75">
      <c r="A23" s="55">
        <v>17</v>
      </c>
      <c r="B23" s="56" t="s">
        <v>21</v>
      </c>
      <c r="C23" s="64">
        <v>1406.08</v>
      </c>
    </row>
    <row r="24" spans="1:3" ht="15.75">
      <c r="A24" s="55">
        <v>18</v>
      </c>
      <c r="B24" s="56" t="s">
        <v>22</v>
      </c>
      <c r="C24" s="64"/>
    </row>
    <row r="25" spans="1:3" ht="15.75">
      <c r="A25" s="55">
        <v>19</v>
      </c>
      <c r="B25" s="56" t="s">
        <v>23</v>
      </c>
      <c r="C25" s="64"/>
    </row>
    <row r="26" spans="1:3" ht="15.75">
      <c r="A26" s="55">
        <v>20</v>
      </c>
      <c r="B26" s="56" t="s">
        <v>24</v>
      </c>
      <c r="C26" s="64">
        <v>1050.2</v>
      </c>
    </row>
    <row r="27" spans="1:3" ht="15.75">
      <c r="A27" s="55">
        <v>21</v>
      </c>
      <c r="B27" s="56" t="s">
        <v>25</v>
      </c>
      <c r="C27" s="64">
        <v>6282.27</v>
      </c>
    </row>
    <row r="28" spans="1:3" ht="15.75">
      <c r="A28" s="55">
        <v>22</v>
      </c>
      <c r="B28" s="56" t="s">
        <v>26</v>
      </c>
      <c r="C28" s="64">
        <v>1510.5</v>
      </c>
    </row>
    <row r="29" spans="1:3" ht="15.75">
      <c r="A29" s="55">
        <v>23</v>
      </c>
      <c r="B29" s="56" t="s">
        <v>27</v>
      </c>
      <c r="C29" s="64"/>
    </row>
    <row r="30" spans="1:3" ht="15.75">
      <c r="A30" s="55">
        <v>24</v>
      </c>
      <c r="B30" s="56" t="s">
        <v>28</v>
      </c>
      <c r="C30" s="64">
        <v>4975.07</v>
      </c>
    </row>
    <row r="31" spans="1:3" ht="15.75">
      <c r="A31" s="55">
        <v>25</v>
      </c>
      <c r="B31" s="56" t="s">
        <v>29</v>
      </c>
      <c r="C31" s="64">
        <v>2749.68</v>
      </c>
    </row>
    <row r="32" spans="1:3" ht="15.75">
      <c r="A32" s="55">
        <v>26</v>
      </c>
      <c r="B32" s="56" t="s">
        <v>39</v>
      </c>
      <c r="C32" s="64"/>
    </row>
    <row r="33" spans="1:3" ht="15.75">
      <c r="A33" s="55">
        <v>27</v>
      </c>
      <c r="B33" s="56" t="s">
        <v>40</v>
      </c>
      <c r="C33" s="64">
        <v>3650.91</v>
      </c>
    </row>
    <row r="34" spans="1:3" ht="15.75">
      <c r="A34" s="55">
        <v>28</v>
      </c>
      <c r="B34" s="56" t="s">
        <v>41</v>
      </c>
      <c r="C34" s="64">
        <v>4452.42</v>
      </c>
    </row>
    <row r="35" spans="1:3" ht="15.75">
      <c r="A35" s="55">
        <v>29</v>
      </c>
      <c r="B35" s="56" t="s">
        <v>43</v>
      </c>
      <c r="C35" s="64"/>
    </row>
    <row r="36" spans="1:3" ht="15.75">
      <c r="A36" s="55">
        <v>30</v>
      </c>
      <c r="B36" s="56" t="s">
        <v>45</v>
      </c>
      <c r="C36" s="64"/>
    </row>
    <row r="37" spans="1:3" ht="15.75">
      <c r="A37" s="55">
        <v>31</v>
      </c>
      <c r="B37" s="56" t="s">
        <v>58</v>
      </c>
      <c r="C37" s="64"/>
    </row>
    <row r="38" spans="1:3" ht="15.75">
      <c r="A38" s="55">
        <v>32</v>
      </c>
      <c r="B38" s="56" t="s">
        <v>59</v>
      </c>
      <c r="C38" s="64"/>
    </row>
    <row r="39" spans="1:3" ht="15.75">
      <c r="A39" s="55">
        <v>33</v>
      </c>
      <c r="B39" s="56" t="s">
        <v>68</v>
      </c>
      <c r="C39" s="64"/>
    </row>
    <row r="40" spans="1:3" ht="15.75">
      <c r="A40" s="57"/>
      <c r="B40" s="57" t="s">
        <v>30</v>
      </c>
      <c r="C40" s="65">
        <f>SUM(C7:C39)</f>
        <v>114464.8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A3" sqref="A3:G39"/>
    </sheetView>
  </sheetViews>
  <sheetFormatPr defaultColWidth="9.140625" defaultRowHeight="12.75"/>
  <cols>
    <col min="2" max="2" width="31.28125" style="0" customWidth="1"/>
    <col min="3" max="3" width="13.710937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86" t="s">
        <v>82</v>
      </c>
      <c r="B3" s="86"/>
      <c r="C3" s="86"/>
      <c r="D3" s="86"/>
      <c r="E3" s="86"/>
      <c r="F3" s="86"/>
      <c r="G3" s="86"/>
    </row>
    <row r="4" spans="1:7" ht="15">
      <c r="A4" s="87"/>
      <c r="B4" s="87"/>
      <c r="C4" s="41" t="s">
        <v>35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36</v>
      </c>
      <c r="D5" s="42" t="s">
        <v>37</v>
      </c>
      <c r="E5" s="43" t="s">
        <v>38</v>
      </c>
      <c r="F5" s="36"/>
      <c r="G5" s="36"/>
    </row>
    <row r="6" spans="1:7" ht="15.75">
      <c r="A6" s="55">
        <v>1</v>
      </c>
      <c r="B6" s="56" t="s">
        <v>6</v>
      </c>
      <c r="C6" s="6">
        <v>25464.62</v>
      </c>
      <c r="D6" s="6">
        <v>55252.44</v>
      </c>
      <c r="E6" s="7">
        <f>C6+D6</f>
        <v>80717.06</v>
      </c>
      <c r="F6" s="36"/>
      <c r="G6" s="36"/>
    </row>
    <row r="7" spans="1:7" ht="15.75">
      <c r="A7" s="55">
        <v>2</v>
      </c>
      <c r="B7" s="56" t="s">
        <v>7</v>
      </c>
      <c r="C7" s="6">
        <f>6807.31+2774.36</f>
        <v>9581.67</v>
      </c>
      <c r="D7" s="6">
        <f>7232.53+3668.85</f>
        <v>10901.38</v>
      </c>
      <c r="E7" s="7">
        <f aca="true" t="shared" si="0" ref="E7:E39">C7+D7</f>
        <v>20483.05</v>
      </c>
      <c r="F7" s="36"/>
      <c r="G7" s="36"/>
    </row>
    <row r="8" spans="1:7" ht="15.75">
      <c r="A8" s="55">
        <v>3</v>
      </c>
      <c r="B8" s="56" t="s">
        <v>8</v>
      </c>
      <c r="C8" s="6">
        <v>3107.46</v>
      </c>
      <c r="D8" s="6">
        <v>2440.38</v>
      </c>
      <c r="E8" s="7">
        <f t="shared" si="0"/>
        <v>5547.84</v>
      </c>
      <c r="F8" s="36"/>
      <c r="G8" s="36"/>
    </row>
    <row r="9" spans="1:7" ht="15.75">
      <c r="A9" s="55">
        <v>4</v>
      </c>
      <c r="B9" s="56" t="s">
        <v>9</v>
      </c>
      <c r="C9" s="6">
        <v>733.54</v>
      </c>
      <c r="D9" s="6">
        <v>4093.29</v>
      </c>
      <c r="E9" s="7">
        <f t="shared" si="0"/>
        <v>4826.83</v>
      </c>
      <c r="F9" s="36"/>
      <c r="G9" s="36"/>
    </row>
    <row r="10" spans="1:7" ht="15.75">
      <c r="A10" s="55">
        <v>5</v>
      </c>
      <c r="B10" s="56" t="s">
        <v>10</v>
      </c>
      <c r="C10" s="6">
        <f>11912.06+1668.71</f>
        <v>13580.77</v>
      </c>
      <c r="D10" s="6">
        <f>19340.82+2808.1</f>
        <v>22148.92</v>
      </c>
      <c r="E10" s="7">
        <f t="shared" si="0"/>
        <v>35729.69</v>
      </c>
      <c r="F10" s="36"/>
      <c r="G10" s="36"/>
    </row>
    <row r="11" spans="1:7" ht="15.75">
      <c r="A11" s="55">
        <v>6</v>
      </c>
      <c r="B11" s="56" t="s">
        <v>11</v>
      </c>
      <c r="C11" s="6">
        <f>18482.43+5266.12+9841.65</f>
        <v>33590.2</v>
      </c>
      <c r="D11" s="6">
        <f>34861.32+6744.95+19495.43</f>
        <v>61101.7</v>
      </c>
      <c r="E11" s="7">
        <f t="shared" si="0"/>
        <v>94691.9</v>
      </c>
      <c r="F11" s="36"/>
      <c r="G11" s="36"/>
    </row>
    <row r="12" spans="1:7" ht="15.75">
      <c r="A12" s="55">
        <v>7</v>
      </c>
      <c r="B12" s="56" t="s">
        <v>57</v>
      </c>
      <c r="C12" s="6">
        <f>35.65+5617.05+418.02+716.73+7374.53+1844.08+3822.02</f>
        <v>19828.079999999998</v>
      </c>
      <c r="D12" s="6">
        <f>580.79+13727.76+514.29+881.94+6702.37+2432.85+4408.48</f>
        <v>29248.48</v>
      </c>
      <c r="E12" s="7">
        <f t="shared" si="0"/>
        <v>49076.56</v>
      </c>
      <c r="F12" s="36"/>
      <c r="G12" s="36"/>
    </row>
    <row r="13" spans="1:7" ht="15.75">
      <c r="A13" s="55">
        <v>8</v>
      </c>
      <c r="B13" s="56" t="s">
        <v>12</v>
      </c>
      <c r="C13" s="6">
        <v>80630.17</v>
      </c>
      <c r="D13" s="6">
        <v>134992.15</v>
      </c>
      <c r="E13" s="7">
        <f t="shared" si="0"/>
        <v>215622.32</v>
      </c>
      <c r="F13" s="36"/>
      <c r="G13" s="36"/>
    </row>
    <row r="14" spans="1:7" ht="15.75">
      <c r="A14" s="55">
        <v>9</v>
      </c>
      <c r="B14" s="56" t="s">
        <v>13</v>
      </c>
      <c r="C14" s="6">
        <f>12143.03+4326.33</f>
        <v>16469.36</v>
      </c>
      <c r="D14" s="6">
        <f>26695.28+6733.35</f>
        <v>33428.63</v>
      </c>
      <c r="E14" s="7">
        <f t="shared" si="0"/>
        <v>49897.99</v>
      </c>
      <c r="F14" s="36"/>
      <c r="G14" s="36"/>
    </row>
    <row r="15" spans="1:7" ht="15.75">
      <c r="A15" s="55">
        <v>10</v>
      </c>
      <c r="B15" s="56" t="s">
        <v>14</v>
      </c>
      <c r="C15" s="6">
        <f>10894.72+900.35+6144.44</f>
        <v>17939.51</v>
      </c>
      <c r="D15" s="6">
        <f>18119.88+4094.38+10681.03</f>
        <v>32895.29</v>
      </c>
      <c r="E15" s="7">
        <f t="shared" si="0"/>
        <v>50834.8</v>
      </c>
      <c r="F15" s="36"/>
      <c r="G15" s="36"/>
    </row>
    <row r="16" spans="1:7" ht="15.75">
      <c r="A16" s="55">
        <v>11</v>
      </c>
      <c r="B16" s="56" t="s">
        <v>15</v>
      </c>
      <c r="C16" s="6">
        <v>11008.51</v>
      </c>
      <c r="D16" s="6">
        <v>18498.81</v>
      </c>
      <c r="E16" s="7">
        <f t="shared" si="0"/>
        <v>29507.32</v>
      </c>
      <c r="F16" s="36"/>
      <c r="G16" s="36"/>
    </row>
    <row r="17" spans="1:7" ht="15.75">
      <c r="A17" s="55">
        <v>12</v>
      </c>
      <c r="B17" s="56" t="s">
        <v>16</v>
      </c>
      <c r="C17" s="6">
        <v>1123.25</v>
      </c>
      <c r="D17" s="6">
        <v>8301.49</v>
      </c>
      <c r="E17" s="7">
        <f t="shared" si="0"/>
        <v>9424.74</v>
      </c>
      <c r="F17" s="36"/>
      <c r="G17" s="36"/>
    </row>
    <row r="18" spans="1:7" ht="15.75">
      <c r="A18" s="55">
        <v>13</v>
      </c>
      <c r="B18" s="56" t="s">
        <v>17</v>
      </c>
      <c r="C18" s="6">
        <v>6609.86</v>
      </c>
      <c r="D18" s="6">
        <v>22796.65</v>
      </c>
      <c r="E18" s="7">
        <f t="shared" si="0"/>
        <v>29406.510000000002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>
        <v>6693.06</v>
      </c>
      <c r="D21" s="6">
        <v>18913.43</v>
      </c>
      <c r="E21" s="7">
        <f t="shared" si="0"/>
        <v>25606.49</v>
      </c>
      <c r="F21" s="36"/>
      <c r="G21" s="36"/>
    </row>
    <row r="22" spans="1:7" ht="15.75">
      <c r="A22" s="55">
        <v>17</v>
      </c>
      <c r="B22" s="56" t="s">
        <v>21</v>
      </c>
      <c r="C22" s="6">
        <f>3426.4+3181.48+4673.72+239.08+2110.23</f>
        <v>13630.91</v>
      </c>
      <c r="D22" s="6">
        <f>7149+4684.82+8267.02+409.71+1520.26</f>
        <v>22030.809999999998</v>
      </c>
      <c r="E22" s="7">
        <f t="shared" si="0"/>
        <v>35661.72</v>
      </c>
      <c r="F22" s="36"/>
      <c r="G22" s="36"/>
    </row>
    <row r="23" spans="1:7" ht="15.75">
      <c r="A23" s="55">
        <v>18</v>
      </c>
      <c r="B23" s="56" t="s">
        <v>22</v>
      </c>
      <c r="C23" s="6">
        <f>903.59+4812.22+274.16</f>
        <v>5989.97</v>
      </c>
      <c r="D23" s="6">
        <f>4363.98+10227.24+1273.96</f>
        <v>15865.18</v>
      </c>
      <c r="E23" s="7">
        <f t="shared" si="0"/>
        <v>21855.15</v>
      </c>
      <c r="F23" s="36"/>
      <c r="G23" s="36"/>
    </row>
    <row r="24" spans="1:7" ht="15.75">
      <c r="A24" s="55">
        <v>19</v>
      </c>
      <c r="B24" s="56" t="s">
        <v>23</v>
      </c>
      <c r="C24" s="6">
        <v>1340.01</v>
      </c>
      <c r="D24" s="6">
        <v>841.84</v>
      </c>
      <c r="E24" s="7">
        <f t="shared" si="0"/>
        <v>2181.85</v>
      </c>
      <c r="F24" s="36"/>
      <c r="G24" s="36"/>
    </row>
    <row r="25" spans="1:7" ht="15.75">
      <c r="A25" s="55">
        <v>20</v>
      </c>
      <c r="B25" s="56" t="s">
        <v>24</v>
      </c>
      <c r="C25" s="6"/>
      <c r="D25" s="6"/>
      <c r="E25" s="7">
        <f t="shared" si="0"/>
        <v>0</v>
      </c>
      <c r="F25" s="36"/>
      <c r="G25" s="36"/>
    </row>
    <row r="26" spans="1:7" ht="15.75">
      <c r="A26" s="55">
        <v>21</v>
      </c>
      <c r="B26" s="56" t="s">
        <v>25</v>
      </c>
      <c r="C26" s="6">
        <v>4928.11</v>
      </c>
      <c r="D26" s="6">
        <v>12787.79</v>
      </c>
      <c r="E26" s="7">
        <f t="shared" si="0"/>
        <v>17715.9</v>
      </c>
      <c r="F26" s="36"/>
      <c r="G26" s="36"/>
    </row>
    <row r="27" spans="1:7" ht="15.75">
      <c r="A27" s="55">
        <v>22</v>
      </c>
      <c r="B27" s="56" t="s">
        <v>26</v>
      </c>
      <c r="C27" s="6">
        <v>4071.38</v>
      </c>
      <c r="D27" s="6">
        <v>3360.91</v>
      </c>
      <c r="E27" s="7">
        <f t="shared" si="0"/>
        <v>7432.29</v>
      </c>
      <c r="F27" s="36"/>
      <c r="G27" s="36"/>
    </row>
    <row r="28" spans="1:7" ht="15.75">
      <c r="A28" s="55">
        <v>23</v>
      </c>
      <c r="B28" s="56" t="s">
        <v>27</v>
      </c>
      <c r="C28" s="6"/>
      <c r="D28" s="6"/>
      <c r="E28" s="7">
        <f t="shared" si="0"/>
        <v>0</v>
      </c>
      <c r="F28" s="36"/>
      <c r="G28" s="36"/>
    </row>
    <row r="29" spans="1:7" ht="15.75">
      <c r="A29" s="55">
        <v>24</v>
      </c>
      <c r="B29" s="56" t="s">
        <v>28</v>
      </c>
      <c r="C29" s="6">
        <f>6280.45+5271.83+4838.93</f>
        <v>16391.21</v>
      </c>
      <c r="D29" s="6">
        <f>9654.9+13872.42+9393.68</f>
        <v>32921</v>
      </c>
      <c r="E29" s="7">
        <f t="shared" si="0"/>
        <v>49312.21</v>
      </c>
      <c r="F29" s="36"/>
      <c r="G29" s="36"/>
    </row>
    <row r="30" spans="1:7" ht="15.75">
      <c r="A30" s="55">
        <v>25</v>
      </c>
      <c r="B30" s="56" t="s">
        <v>29</v>
      </c>
      <c r="C30" s="6">
        <v>37.58</v>
      </c>
      <c r="D30" s="6">
        <v>569.82</v>
      </c>
      <c r="E30" s="7">
        <f t="shared" si="0"/>
        <v>607.4000000000001</v>
      </c>
      <c r="F30" s="36"/>
      <c r="G30" s="36"/>
    </row>
    <row r="31" spans="1:7" ht="15.75">
      <c r="A31" s="55">
        <v>26</v>
      </c>
      <c r="B31" s="56" t="s">
        <v>39</v>
      </c>
      <c r="C31" s="6">
        <v>353.4</v>
      </c>
      <c r="D31" s="6">
        <v>561.05</v>
      </c>
      <c r="E31" s="7">
        <f t="shared" si="0"/>
        <v>914.4499999999999</v>
      </c>
      <c r="F31" s="36"/>
      <c r="G31" s="36"/>
    </row>
    <row r="32" spans="1:7" ht="15.75">
      <c r="A32" s="55">
        <v>27</v>
      </c>
      <c r="B32" s="56" t="s">
        <v>40</v>
      </c>
      <c r="C32" s="6">
        <f>3580.78+426.64+302.91+1596.87</f>
        <v>5907.2</v>
      </c>
      <c r="D32" s="6">
        <f>7361.8+1127.39+1393.6+451.47</f>
        <v>10334.26</v>
      </c>
      <c r="E32" s="7">
        <f t="shared" si="0"/>
        <v>16241.46</v>
      </c>
      <c r="F32" s="36"/>
      <c r="G32" s="36"/>
    </row>
    <row r="33" spans="1:7" ht="15.75">
      <c r="A33" s="55">
        <v>28</v>
      </c>
      <c r="B33" s="56" t="s">
        <v>41</v>
      </c>
      <c r="C33" s="6">
        <v>11550.64</v>
      </c>
      <c r="D33" s="6">
        <v>27282.92</v>
      </c>
      <c r="E33" s="7">
        <f t="shared" si="0"/>
        <v>38833.56</v>
      </c>
      <c r="F33" s="36"/>
      <c r="G33" s="36"/>
    </row>
    <row r="34" spans="1:7" ht="15.75">
      <c r="A34" s="55">
        <v>29</v>
      </c>
      <c r="B34" s="56" t="s">
        <v>43</v>
      </c>
      <c r="C34" s="6">
        <v>685.95</v>
      </c>
      <c r="D34" s="6">
        <v>1583.86</v>
      </c>
      <c r="E34" s="7">
        <f t="shared" si="0"/>
        <v>2269.81</v>
      </c>
      <c r="F34" s="36"/>
      <c r="G34" s="36"/>
    </row>
    <row r="35" spans="1:7" ht="15.75">
      <c r="A35" s="55">
        <v>30</v>
      </c>
      <c r="B35" s="56" t="s">
        <v>45</v>
      </c>
      <c r="C35" s="6"/>
      <c r="D35" s="6"/>
      <c r="E35" s="7">
        <f t="shared" si="0"/>
        <v>0</v>
      </c>
      <c r="F35" s="36"/>
      <c r="G35" s="36"/>
    </row>
    <row r="36" spans="1:7" ht="15.75">
      <c r="A36" s="55">
        <v>31</v>
      </c>
      <c r="B36" s="56" t="s">
        <v>58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59</v>
      </c>
      <c r="C37" s="6">
        <v>2415.52</v>
      </c>
      <c r="D37" s="6">
        <v>2738.26</v>
      </c>
      <c r="E37" s="7">
        <f t="shared" si="0"/>
        <v>5153.780000000001</v>
      </c>
      <c r="F37" s="36"/>
      <c r="G37" s="36"/>
    </row>
    <row r="38" spans="1:7" ht="15.75">
      <c r="A38" s="55">
        <v>33</v>
      </c>
      <c r="B38" s="56" t="s">
        <v>68</v>
      </c>
      <c r="C38" s="6"/>
      <c r="D38" s="6"/>
      <c r="E38" s="7">
        <f t="shared" si="0"/>
        <v>0</v>
      </c>
      <c r="F38" s="36"/>
      <c r="G38" s="36"/>
    </row>
    <row r="39" spans="1:7" ht="15.75">
      <c r="A39" s="57"/>
      <c r="B39" s="57" t="s">
        <v>30</v>
      </c>
      <c r="C39" s="6">
        <f>SUM(C6:C38)</f>
        <v>313661.9400000001</v>
      </c>
      <c r="D39" s="6">
        <f>SUM(D6:D38)</f>
        <v>585890.74</v>
      </c>
      <c r="E39" s="7">
        <f t="shared" si="0"/>
        <v>899552.6800000002</v>
      </c>
      <c r="F39" s="36"/>
      <c r="G39" s="36"/>
    </row>
    <row r="40" spans="1:7" ht="14.25">
      <c r="A40" s="36"/>
      <c r="B40" s="36"/>
      <c r="C40" s="36"/>
      <c r="D40" s="36"/>
      <c r="E40" s="1"/>
      <c r="F40" s="36"/>
      <c r="G40" s="36"/>
    </row>
    <row r="41" spans="1:7" ht="14.25">
      <c r="A41" s="36"/>
      <c r="B41" s="36"/>
      <c r="C41" s="36"/>
      <c r="D41" s="36"/>
      <c r="E41" s="36"/>
      <c r="F41" s="36"/>
      <c r="G41" s="36"/>
    </row>
    <row r="42" ht="12.75">
      <c r="E42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D6" sqref="D6:D38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5" t="s">
        <v>83</v>
      </c>
      <c r="B3" s="85"/>
      <c r="C3" s="85"/>
      <c r="D3" s="85"/>
      <c r="E3" s="85"/>
      <c r="F3" s="85"/>
    </row>
    <row r="4" spans="1:6" ht="15">
      <c r="A4" s="88"/>
      <c r="B4" s="88"/>
      <c r="C4" s="88"/>
      <c r="D4" s="88"/>
      <c r="E4" s="88"/>
      <c r="F4" s="36"/>
    </row>
    <row r="5" spans="1:6" ht="31.5">
      <c r="A5" s="50" t="s">
        <v>0</v>
      </c>
      <c r="B5" s="51" t="s">
        <v>1</v>
      </c>
      <c r="C5" s="51" t="s">
        <v>60</v>
      </c>
      <c r="D5" s="51" t="s">
        <v>61</v>
      </c>
      <c r="E5" s="36"/>
      <c r="F5" s="36"/>
    </row>
    <row r="6" spans="1:4" ht="15.75">
      <c r="A6" s="55">
        <v>1</v>
      </c>
      <c r="B6" s="56" t="s">
        <v>6</v>
      </c>
      <c r="C6" s="64">
        <v>13200</v>
      </c>
      <c r="D6" s="64">
        <v>1200</v>
      </c>
    </row>
    <row r="7" spans="1:4" ht="15.75">
      <c r="A7" s="55">
        <v>2</v>
      </c>
      <c r="B7" s="56" t="s">
        <v>7</v>
      </c>
      <c r="C7" s="64">
        <v>2628</v>
      </c>
      <c r="D7" s="64"/>
    </row>
    <row r="8" spans="1:4" ht="15.75">
      <c r="A8" s="55">
        <v>3</v>
      </c>
      <c r="B8" s="56" t="s">
        <v>8</v>
      </c>
      <c r="C8" s="64">
        <v>360</v>
      </c>
      <c r="D8" s="64"/>
    </row>
    <row r="9" spans="1:4" ht="15.75">
      <c r="A9" s="55">
        <v>4</v>
      </c>
      <c r="B9" s="56" t="s">
        <v>9</v>
      </c>
      <c r="C9" s="64">
        <v>480</v>
      </c>
      <c r="D9" s="64"/>
    </row>
    <row r="10" spans="1:4" ht="15.75">
      <c r="A10" s="55">
        <v>5</v>
      </c>
      <c r="B10" s="56" t="s">
        <v>10</v>
      </c>
      <c r="C10" s="64">
        <v>3360</v>
      </c>
      <c r="D10" s="64"/>
    </row>
    <row r="11" spans="1:4" ht="15.75">
      <c r="A11" s="55">
        <v>6</v>
      </c>
      <c r="B11" s="56" t="s">
        <v>11</v>
      </c>
      <c r="C11" s="64">
        <v>10200</v>
      </c>
      <c r="D11" s="64"/>
    </row>
    <row r="12" spans="1:4" ht="15.75">
      <c r="A12" s="55">
        <v>7</v>
      </c>
      <c r="B12" s="56" t="s">
        <v>57</v>
      </c>
      <c r="C12" s="64">
        <v>5160</v>
      </c>
      <c r="D12" s="64"/>
    </row>
    <row r="13" spans="1:4" ht="15.75">
      <c r="A13" s="55">
        <v>8</v>
      </c>
      <c r="B13" s="56" t="s">
        <v>12</v>
      </c>
      <c r="C13" s="64">
        <v>23280</v>
      </c>
      <c r="D13" s="64">
        <v>3120</v>
      </c>
    </row>
    <row r="14" spans="1:4" ht="15.75">
      <c r="A14" s="55">
        <v>9</v>
      </c>
      <c r="B14" s="56" t="s">
        <v>13</v>
      </c>
      <c r="C14" s="64">
        <v>5400</v>
      </c>
      <c r="D14" s="64">
        <v>480</v>
      </c>
    </row>
    <row r="15" spans="1:4" ht="15.75">
      <c r="A15" s="55">
        <v>10</v>
      </c>
      <c r="B15" s="56" t="s">
        <v>14</v>
      </c>
      <c r="C15" s="64">
        <v>9000</v>
      </c>
      <c r="D15" s="64">
        <v>960</v>
      </c>
    </row>
    <row r="16" spans="1:4" ht="15.75">
      <c r="A16" s="55">
        <v>11</v>
      </c>
      <c r="B16" s="56" t="s">
        <v>15</v>
      </c>
      <c r="C16" s="64">
        <v>3120</v>
      </c>
      <c r="D16" s="64">
        <v>120</v>
      </c>
    </row>
    <row r="17" spans="1:4" ht="15.75">
      <c r="A17" s="55">
        <v>12</v>
      </c>
      <c r="B17" s="56" t="s">
        <v>16</v>
      </c>
      <c r="C17" s="64">
        <v>1200</v>
      </c>
      <c r="D17" s="64"/>
    </row>
    <row r="18" spans="1:4" ht="15.75">
      <c r="A18" s="55">
        <v>13</v>
      </c>
      <c r="B18" s="56" t="s">
        <v>17</v>
      </c>
      <c r="C18" s="64">
        <v>5160</v>
      </c>
      <c r="D18" s="64"/>
    </row>
    <row r="19" spans="1:4" ht="15.75">
      <c r="A19" s="55">
        <v>14</v>
      </c>
      <c r="B19" s="56" t="s">
        <v>18</v>
      </c>
      <c r="C19" s="64"/>
      <c r="D19" s="64"/>
    </row>
    <row r="20" spans="1:4" ht="15.75">
      <c r="A20" s="55">
        <v>15</v>
      </c>
      <c r="B20" s="56" t="s">
        <v>19</v>
      </c>
      <c r="C20" s="64"/>
      <c r="D20" s="64"/>
    </row>
    <row r="21" spans="1:4" ht="15.75">
      <c r="A21" s="55">
        <v>16</v>
      </c>
      <c r="B21" s="56" t="s">
        <v>20</v>
      </c>
      <c r="C21" s="64">
        <v>4680</v>
      </c>
      <c r="D21" s="64"/>
    </row>
    <row r="22" spans="1:4" ht="15.75">
      <c r="A22" s="55">
        <v>17</v>
      </c>
      <c r="B22" s="56" t="s">
        <v>21</v>
      </c>
      <c r="C22" s="64">
        <v>4560</v>
      </c>
      <c r="D22" s="64"/>
    </row>
    <row r="23" spans="1:4" ht="15.75">
      <c r="A23" s="55">
        <v>18</v>
      </c>
      <c r="B23" s="56" t="s">
        <v>22</v>
      </c>
      <c r="C23" s="64"/>
      <c r="D23" s="64"/>
    </row>
    <row r="24" spans="1:4" ht="15.75">
      <c r="A24" s="55">
        <v>19</v>
      </c>
      <c r="B24" s="56" t="s">
        <v>23</v>
      </c>
      <c r="C24" s="64">
        <v>120</v>
      </c>
      <c r="D24" s="64"/>
    </row>
    <row r="25" spans="1:4" ht="15.75">
      <c r="A25" s="55">
        <v>20</v>
      </c>
      <c r="B25" s="56" t="s">
        <v>24</v>
      </c>
      <c r="C25" s="64">
        <v>3240</v>
      </c>
      <c r="D25" s="64"/>
    </row>
    <row r="26" spans="1:4" ht="15.75">
      <c r="A26" s="55">
        <v>21</v>
      </c>
      <c r="B26" s="56" t="s">
        <v>25</v>
      </c>
      <c r="C26" s="64">
        <v>3000</v>
      </c>
      <c r="D26" s="64">
        <v>960</v>
      </c>
    </row>
    <row r="27" spans="1:4" ht="15.75">
      <c r="A27" s="55">
        <v>22</v>
      </c>
      <c r="B27" s="56" t="s">
        <v>26</v>
      </c>
      <c r="C27" s="64">
        <v>1080</v>
      </c>
      <c r="D27" s="64"/>
    </row>
    <row r="28" spans="1:4" ht="15.75">
      <c r="A28" s="55">
        <v>23</v>
      </c>
      <c r="B28" s="56" t="s">
        <v>27</v>
      </c>
      <c r="C28" s="64"/>
      <c r="D28" s="64"/>
    </row>
    <row r="29" spans="1:4" ht="15.75">
      <c r="A29" s="55">
        <v>24</v>
      </c>
      <c r="B29" s="56" t="s">
        <v>28</v>
      </c>
      <c r="C29" s="64">
        <v>6720</v>
      </c>
      <c r="D29" s="64"/>
    </row>
    <row r="30" spans="1:4" ht="15.75">
      <c r="A30" s="55">
        <v>25</v>
      </c>
      <c r="B30" s="56" t="s">
        <v>29</v>
      </c>
      <c r="C30" s="64">
        <v>240</v>
      </c>
      <c r="D30" s="64"/>
    </row>
    <row r="31" spans="1:4" ht="15.75">
      <c r="A31" s="55">
        <v>26</v>
      </c>
      <c r="B31" s="56" t="s">
        <v>39</v>
      </c>
      <c r="C31" s="64">
        <v>120</v>
      </c>
      <c r="D31" s="64"/>
    </row>
    <row r="32" spans="1:4" ht="15.75">
      <c r="A32" s="55">
        <v>27</v>
      </c>
      <c r="B32" s="56" t="s">
        <v>40</v>
      </c>
      <c r="C32" s="64">
        <v>3000</v>
      </c>
      <c r="D32" s="64">
        <v>480</v>
      </c>
    </row>
    <row r="33" spans="1:4" ht="15.75">
      <c r="A33" s="55">
        <v>28</v>
      </c>
      <c r="B33" s="56" t="s">
        <v>41</v>
      </c>
      <c r="C33" s="64">
        <v>4800</v>
      </c>
      <c r="D33" s="64"/>
    </row>
    <row r="34" spans="1:4" ht="15.75">
      <c r="A34" s="55">
        <v>29</v>
      </c>
      <c r="B34" s="56" t="s">
        <v>43</v>
      </c>
      <c r="C34" s="64">
        <v>240</v>
      </c>
      <c r="D34" s="64"/>
    </row>
    <row r="35" spans="1:4" ht="15.75">
      <c r="A35" s="55">
        <v>30</v>
      </c>
      <c r="B35" s="56" t="s">
        <v>45</v>
      </c>
      <c r="C35" s="64"/>
      <c r="D35" s="64"/>
    </row>
    <row r="36" spans="1:4" ht="15.75">
      <c r="A36" s="55">
        <v>31</v>
      </c>
      <c r="B36" s="56" t="s">
        <v>58</v>
      </c>
      <c r="C36" s="64"/>
      <c r="D36" s="64"/>
    </row>
    <row r="37" spans="1:4" ht="15.75">
      <c r="A37" s="55">
        <v>32</v>
      </c>
      <c r="B37" s="56" t="s">
        <v>59</v>
      </c>
      <c r="C37" s="64">
        <v>480</v>
      </c>
      <c r="D37" s="64"/>
    </row>
    <row r="38" spans="1:4" ht="15.75">
      <c r="A38" s="55">
        <v>33</v>
      </c>
      <c r="B38" s="56" t="s">
        <v>68</v>
      </c>
      <c r="C38" s="64"/>
      <c r="D38" s="64"/>
    </row>
    <row r="39" spans="1:4" ht="15.75">
      <c r="A39" s="57"/>
      <c r="B39" s="57" t="s">
        <v>30</v>
      </c>
      <c r="C39" s="65">
        <f>SUM(C6:C38)</f>
        <v>114828</v>
      </c>
      <c r="D39" s="65">
        <f>SUM(D6:D38)</f>
        <v>7320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view="pageBreakPreview" zoomScale="60" workbookViewId="0" topLeftCell="A1">
      <selection activeCell="C6" sqref="C6:C38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84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63</v>
      </c>
      <c r="D5" s="36"/>
      <c r="E5" s="36"/>
    </row>
    <row r="6" spans="1:3" ht="15.75">
      <c r="A6" s="55">
        <v>1</v>
      </c>
      <c r="B6" s="56" t="s">
        <v>6</v>
      </c>
      <c r="C6" s="64">
        <v>26852.66</v>
      </c>
    </row>
    <row r="7" spans="1:3" ht="15.75">
      <c r="A7" s="55">
        <v>2</v>
      </c>
      <c r="B7" s="56" t="s">
        <v>7</v>
      </c>
      <c r="C7" s="64"/>
    </row>
    <row r="8" spans="1:3" ht="15.75">
      <c r="A8" s="55">
        <v>3</v>
      </c>
      <c r="B8" s="56" t="s">
        <v>8</v>
      </c>
      <c r="C8" s="64"/>
    </row>
    <row r="9" spans="1:3" ht="15.75">
      <c r="A9" s="55">
        <v>4</v>
      </c>
      <c r="B9" s="56" t="s">
        <v>9</v>
      </c>
      <c r="C9" s="64"/>
    </row>
    <row r="10" spans="1:3" ht="15.75">
      <c r="A10" s="55">
        <v>5</v>
      </c>
      <c r="B10" s="56" t="s">
        <v>10</v>
      </c>
      <c r="C10" s="64"/>
    </row>
    <row r="11" spans="1:3" ht="15.75">
      <c r="A11" s="55">
        <v>6</v>
      </c>
      <c r="B11" s="56" t="s">
        <v>11</v>
      </c>
      <c r="C11" s="64">
        <v>55587.5</v>
      </c>
    </row>
    <row r="12" spans="1:3" ht="15.75">
      <c r="A12" s="55">
        <v>7</v>
      </c>
      <c r="B12" s="56" t="s">
        <v>57</v>
      </c>
      <c r="C12" s="64">
        <v>65461.96</v>
      </c>
    </row>
    <row r="13" spans="1:3" ht="15.75">
      <c r="A13" s="55">
        <v>8</v>
      </c>
      <c r="B13" s="56" t="s">
        <v>12</v>
      </c>
      <c r="C13" s="64">
        <v>83770.55</v>
      </c>
    </row>
    <row r="14" spans="1:3" ht="15.75">
      <c r="A14" s="55">
        <v>9</v>
      </c>
      <c r="B14" s="56" t="s">
        <v>13</v>
      </c>
      <c r="C14" s="64">
        <v>13426.33</v>
      </c>
    </row>
    <row r="15" spans="1:3" ht="15.75">
      <c r="A15" s="55">
        <v>10</v>
      </c>
      <c r="B15" s="56" t="s">
        <v>14</v>
      </c>
      <c r="C15" s="64"/>
    </row>
    <row r="16" spans="1:3" ht="15.75">
      <c r="A16" s="55">
        <v>11</v>
      </c>
      <c r="B16" s="56" t="s">
        <v>15</v>
      </c>
      <c r="C16" s="64"/>
    </row>
    <row r="17" spans="1:3" ht="15.75">
      <c r="A17" s="55">
        <v>12</v>
      </c>
      <c r="B17" s="56" t="s">
        <v>16</v>
      </c>
      <c r="C17" s="64"/>
    </row>
    <row r="18" spans="1:3" ht="15.75">
      <c r="A18" s="55">
        <v>13</v>
      </c>
      <c r="B18" s="56" t="s">
        <v>17</v>
      </c>
      <c r="C18" s="64">
        <v>13426.33</v>
      </c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/>
    </row>
    <row r="22" spans="1:3" ht="15.75">
      <c r="A22" s="55">
        <v>17</v>
      </c>
      <c r="B22" s="56" t="s">
        <v>21</v>
      </c>
      <c r="C22" s="64"/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/>
    </row>
    <row r="25" spans="1:3" ht="15.75">
      <c r="A25" s="55">
        <v>20</v>
      </c>
      <c r="B25" s="56" t="s">
        <v>24</v>
      </c>
      <c r="C25" s="64"/>
    </row>
    <row r="26" spans="1:3" ht="15.75">
      <c r="A26" s="55">
        <v>21</v>
      </c>
      <c r="B26" s="56" t="s">
        <v>25</v>
      </c>
      <c r="C26" s="64">
        <v>61557.35</v>
      </c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/>
    </row>
    <row r="30" spans="1:3" ht="15.75">
      <c r="A30" s="55">
        <v>25</v>
      </c>
      <c r="B30" s="56" t="s">
        <v>29</v>
      </c>
      <c r="C30" s="64"/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/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/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/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320082.67999999993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C6" sqref="C6:C38"/>
    </sheetView>
  </sheetViews>
  <sheetFormatPr defaultColWidth="9.140625" defaultRowHeight="12.75"/>
  <cols>
    <col min="2" max="2" width="36.57421875" style="0" customWidth="1"/>
    <col min="3" max="3" width="20.8515625" style="0" customWidth="1"/>
    <col min="5" max="5" width="29.00390625" style="0" customWidth="1"/>
  </cols>
  <sheetData>
    <row r="3" spans="1:5" ht="15">
      <c r="A3" s="89" t="s">
        <v>85</v>
      </c>
      <c r="B3" s="89"/>
      <c r="C3" s="89"/>
      <c r="D3" s="89"/>
      <c r="E3" s="89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66</v>
      </c>
      <c r="D5" s="36"/>
      <c r="E5" s="36"/>
    </row>
    <row r="6" spans="1:5" ht="15.75">
      <c r="A6" s="55">
        <v>1</v>
      </c>
      <c r="B6" s="56" t="s">
        <v>6</v>
      </c>
      <c r="C6" s="6">
        <v>109483.78</v>
      </c>
      <c r="D6" s="36"/>
      <c r="E6" s="36"/>
    </row>
    <row r="7" spans="1:5" ht="15.75">
      <c r="A7" s="55">
        <v>2</v>
      </c>
      <c r="B7" s="56" t="s">
        <v>7</v>
      </c>
      <c r="C7" s="6">
        <v>178.14</v>
      </c>
      <c r="D7" s="36"/>
      <c r="E7" s="36"/>
    </row>
    <row r="8" spans="1:3" ht="15.75">
      <c r="A8" s="55">
        <v>3</v>
      </c>
      <c r="B8" s="56" t="s">
        <v>8</v>
      </c>
      <c r="C8" s="64">
        <v>137.18</v>
      </c>
    </row>
    <row r="9" spans="1:3" ht="15.75">
      <c r="A9" s="55">
        <v>4</v>
      </c>
      <c r="B9" s="56" t="s">
        <v>9</v>
      </c>
      <c r="C9" s="64">
        <v>1184.73</v>
      </c>
    </row>
    <row r="10" spans="1:3" ht="15.75">
      <c r="A10" s="55">
        <v>5</v>
      </c>
      <c r="B10" s="56" t="s">
        <v>10</v>
      </c>
      <c r="C10" s="64"/>
    </row>
    <row r="11" spans="1:3" ht="15.75">
      <c r="A11" s="55">
        <v>6</v>
      </c>
      <c r="B11" s="56" t="s">
        <v>11</v>
      </c>
      <c r="C11" s="64">
        <v>1404.92</v>
      </c>
    </row>
    <row r="12" spans="1:3" ht="15.75">
      <c r="A12" s="55">
        <v>7</v>
      </c>
      <c r="B12" s="56" t="s">
        <v>57</v>
      </c>
      <c r="C12" s="64">
        <v>3468.19</v>
      </c>
    </row>
    <row r="13" spans="1:3" ht="15.75">
      <c r="A13" s="55">
        <v>8</v>
      </c>
      <c r="B13" s="56" t="s">
        <v>12</v>
      </c>
      <c r="C13" s="64">
        <v>206661.56</v>
      </c>
    </row>
    <row r="14" spans="1:3" ht="15.75">
      <c r="A14" s="55">
        <v>9</v>
      </c>
      <c r="B14" s="56" t="s">
        <v>13</v>
      </c>
      <c r="C14" s="64">
        <v>238.79</v>
      </c>
    </row>
    <row r="15" spans="1:3" ht="15.75">
      <c r="A15" s="55">
        <v>10</v>
      </c>
      <c r="B15" s="56" t="s">
        <v>14</v>
      </c>
      <c r="C15" s="64">
        <v>18335.31</v>
      </c>
    </row>
    <row r="16" spans="1:3" ht="15.75">
      <c r="A16" s="55">
        <v>11</v>
      </c>
      <c r="B16" s="56" t="s">
        <v>15</v>
      </c>
      <c r="C16" s="64">
        <v>842.73</v>
      </c>
    </row>
    <row r="17" spans="1:3" ht="15.75">
      <c r="A17" s="55">
        <v>12</v>
      </c>
      <c r="B17" s="56" t="s">
        <v>16</v>
      </c>
      <c r="C17" s="64">
        <v>1367.25</v>
      </c>
    </row>
    <row r="18" spans="1:3" ht="15.75">
      <c r="A18" s="55">
        <v>13</v>
      </c>
      <c r="B18" s="56" t="s">
        <v>17</v>
      </c>
      <c r="C18" s="64">
        <v>603.53</v>
      </c>
    </row>
    <row r="19" spans="1:3" ht="15.75">
      <c r="A19" s="55">
        <v>14</v>
      </c>
      <c r="B19" s="56" t="s">
        <v>18</v>
      </c>
      <c r="C19" s="64"/>
    </row>
    <row r="20" spans="1:3" ht="15.75">
      <c r="A20" s="55">
        <v>15</v>
      </c>
      <c r="B20" s="56" t="s">
        <v>19</v>
      </c>
      <c r="C20" s="64"/>
    </row>
    <row r="21" spans="1:3" ht="15.75">
      <c r="A21" s="55">
        <v>16</v>
      </c>
      <c r="B21" s="56" t="s">
        <v>20</v>
      </c>
      <c r="C21" s="64">
        <v>1175.7</v>
      </c>
    </row>
    <row r="22" spans="1:3" ht="15.75">
      <c r="A22" s="55">
        <v>17</v>
      </c>
      <c r="B22" s="56" t="s">
        <v>21</v>
      </c>
      <c r="C22" s="64">
        <v>609.29</v>
      </c>
    </row>
    <row r="23" spans="1:3" ht="15.75">
      <c r="A23" s="55">
        <v>18</v>
      </c>
      <c r="B23" s="56" t="s">
        <v>22</v>
      </c>
      <c r="C23" s="64"/>
    </row>
    <row r="24" spans="1:3" ht="15.75">
      <c r="A24" s="55">
        <v>19</v>
      </c>
      <c r="B24" s="56" t="s">
        <v>23</v>
      </c>
      <c r="C24" s="64">
        <v>120.33</v>
      </c>
    </row>
    <row r="25" spans="1:3" ht="15.75">
      <c r="A25" s="55">
        <v>20</v>
      </c>
      <c r="B25" s="56" t="s">
        <v>24</v>
      </c>
      <c r="C25" s="64">
        <v>70379.75</v>
      </c>
    </row>
    <row r="26" spans="1:3" ht="15.75">
      <c r="A26" s="55">
        <v>21</v>
      </c>
      <c r="B26" s="56" t="s">
        <v>25</v>
      </c>
      <c r="C26" s="64">
        <v>1095.07</v>
      </c>
    </row>
    <row r="27" spans="1:3" ht="15.75">
      <c r="A27" s="55">
        <v>22</v>
      </c>
      <c r="B27" s="56" t="s">
        <v>26</v>
      </c>
      <c r="C27" s="64"/>
    </row>
    <row r="28" spans="1:3" ht="15.75">
      <c r="A28" s="55">
        <v>23</v>
      </c>
      <c r="B28" s="56" t="s">
        <v>27</v>
      </c>
      <c r="C28" s="64"/>
    </row>
    <row r="29" spans="1:3" ht="15.75">
      <c r="A29" s="55">
        <v>24</v>
      </c>
      <c r="B29" s="56" t="s">
        <v>28</v>
      </c>
      <c r="C29" s="64">
        <v>130930.79</v>
      </c>
    </row>
    <row r="30" spans="1:3" ht="15.75">
      <c r="A30" s="55">
        <v>25</v>
      </c>
      <c r="B30" s="56" t="s">
        <v>29</v>
      </c>
      <c r="C30" s="64">
        <v>15307.49</v>
      </c>
    </row>
    <row r="31" spans="1:3" ht="15.75">
      <c r="A31" s="55">
        <v>26</v>
      </c>
      <c r="B31" s="56" t="s">
        <v>39</v>
      </c>
      <c r="C31" s="64"/>
    </row>
    <row r="32" spans="1:3" ht="15.75">
      <c r="A32" s="55">
        <v>27</v>
      </c>
      <c r="B32" s="56" t="s">
        <v>40</v>
      </c>
      <c r="C32" s="64">
        <v>1648.03</v>
      </c>
    </row>
    <row r="33" spans="1:3" ht="15.75">
      <c r="A33" s="55">
        <v>28</v>
      </c>
      <c r="B33" s="56" t="s">
        <v>41</v>
      </c>
      <c r="C33" s="64"/>
    </row>
    <row r="34" spans="1:3" ht="15.75">
      <c r="A34" s="55">
        <v>29</v>
      </c>
      <c r="B34" s="56" t="s">
        <v>43</v>
      </c>
      <c r="C34" s="64"/>
    </row>
    <row r="35" spans="1:3" ht="15.75">
      <c r="A35" s="55">
        <v>30</v>
      </c>
      <c r="B35" s="56" t="s">
        <v>45</v>
      </c>
      <c r="C35" s="64"/>
    </row>
    <row r="36" spans="1:3" ht="15.75">
      <c r="A36" s="55">
        <v>31</v>
      </c>
      <c r="B36" s="56" t="s">
        <v>58</v>
      </c>
      <c r="C36" s="64"/>
    </row>
    <row r="37" spans="1:3" ht="15.75">
      <c r="A37" s="55">
        <v>32</v>
      </c>
      <c r="B37" s="56" t="s">
        <v>59</v>
      </c>
      <c r="C37" s="64">
        <v>74.23</v>
      </c>
    </row>
    <row r="38" spans="1:3" ht="15.75">
      <c r="A38" s="55">
        <v>33</v>
      </c>
      <c r="B38" s="56" t="s">
        <v>68</v>
      </c>
      <c r="C38" s="64"/>
    </row>
    <row r="39" spans="1:3" ht="15.75">
      <c r="A39" s="57"/>
      <c r="B39" s="57" t="s">
        <v>30</v>
      </c>
      <c r="C39" s="65">
        <f>SUM(C6:C38)</f>
        <v>565246.79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2021-04-22T07:11:32Z</cp:lastPrinted>
  <dcterms:created xsi:type="dcterms:W3CDTF">2011-06-30T06:54:46Z</dcterms:created>
  <dcterms:modified xsi:type="dcterms:W3CDTF">2021-10-21T08:29:17Z</dcterms:modified>
  <cp:category/>
  <cp:version/>
  <cp:contentType/>
  <cp:contentStatus/>
</cp:coreProperties>
</file>